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0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1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2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3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4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5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Commission - Job Cost\2019\"/>
    </mc:Choice>
  </mc:AlternateContent>
  <bookViews>
    <workbookView xWindow="-120" yWindow="-120" windowWidth="16320" windowHeight="12705" tabRatio="488"/>
  </bookViews>
  <sheets>
    <sheet name="Raw Data" sheetId="1" r:id="rId1"/>
    <sheet name="Product Margin Analysis" sheetId="7" r:id="rId2"/>
    <sheet name="Product Revenue Analysis" sheetId="8" r:id="rId3"/>
    <sheet name="Installer Analysis" sheetId="9" r:id="rId4"/>
    <sheet name="Designer Analysis" sheetId="10" r:id="rId5"/>
    <sheet name="Sales Location Analysis" sheetId="11" r:id="rId6"/>
    <sheet name="Sales by month" sheetId="13" r:id="rId7"/>
  </sheets>
  <definedNames>
    <definedName name="_xlnm._FilterDatabase" localSheetId="4" hidden="1">'Designer Analysis'!#REF!</definedName>
    <definedName name="_xlnm._FilterDatabase" localSheetId="3" hidden="1">'Installer Analysis'!#REF!</definedName>
    <definedName name="_xlnm._FilterDatabase" localSheetId="1" hidden="1">'Product Margin Analysis'!#REF!</definedName>
    <definedName name="_xlnm._FilterDatabase" localSheetId="2" hidden="1">'Product Revenue Analysis'!#REF!</definedName>
    <definedName name="_xlnm._FilterDatabase" localSheetId="0" hidden="1">'Raw Data'!$B$4:$Q$309</definedName>
    <definedName name="_xlnm._FilterDatabase" localSheetId="6" hidden="1">'Sales by month'!#REF!</definedName>
    <definedName name="_xlnm._FilterDatabase" localSheetId="5" hidden="1">'Sales Location Analysis'!#REF!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4" i="9"/>
  <c r="E21" i="9" l="1"/>
  <c r="G8" i="11"/>
  <c r="E8" i="11"/>
  <c r="D8" i="11"/>
  <c r="C8" i="11"/>
  <c r="G9" i="11"/>
  <c r="E9" i="11"/>
  <c r="D9" i="11"/>
  <c r="C9" i="11"/>
  <c r="G7" i="11"/>
  <c r="E7" i="11"/>
  <c r="D7" i="11"/>
  <c r="C7" i="11"/>
  <c r="G6" i="11"/>
  <c r="E6" i="11"/>
  <c r="D6" i="11"/>
  <c r="C6" i="11"/>
  <c r="G5" i="11"/>
  <c r="E5" i="11"/>
  <c r="D5" i="11"/>
  <c r="C5" i="11"/>
  <c r="M309" i="1"/>
  <c r="K309" i="1"/>
  <c r="M308" i="1"/>
  <c r="K308" i="1"/>
  <c r="M307" i="1"/>
  <c r="K307" i="1"/>
  <c r="M306" i="1"/>
  <c r="K306" i="1"/>
  <c r="M305" i="1"/>
  <c r="K305" i="1"/>
  <c r="L304" i="1"/>
  <c r="M304" i="1" s="1"/>
  <c r="K304" i="1"/>
  <c r="M303" i="1"/>
  <c r="K303" i="1"/>
  <c r="M302" i="1"/>
  <c r="K302" i="1"/>
  <c r="L301" i="1"/>
  <c r="M301" i="1" s="1"/>
  <c r="K301" i="1"/>
  <c r="M300" i="1"/>
  <c r="K300" i="1"/>
  <c r="L299" i="1"/>
  <c r="M299" i="1" s="1"/>
  <c r="K299" i="1"/>
  <c r="M298" i="1"/>
  <c r="K298" i="1"/>
  <c r="M297" i="1"/>
  <c r="K297" i="1"/>
  <c r="M296" i="1"/>
  <c r="K296" i="1"/>
  <c r="M295" i="1"/>
  <c r="K295" i="1"/>
  <c r="M294" i="1"/>
  <c r="K294" i="1"/>
  <c r="M293" i="1"/>
  <c r="K293" i="1"/>
  <c r="L292" i="1"/>
  <c r="M292" i="1" s="1"/>
  <c r="K292" i="1"/>
  <c r="M291" i="1"/>
  <c r="K291" i="1"/>
  <c r="M290" i="1"/>
  <c r="K290" i="1"/>
  <c r="L289" i="1"/>
  <c r="M289" i="1" s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J273" i="1"/>
  <c r="K273" i="1" s="1"/>
  <c r="M272" i="1"/>
  <c r="K272" i="1"/>
  <c r="M271" i="1"/>
  <c r="K271" i="1"/>
  <c r="M270" i="1"/>
  <c r="K270" i="1"/>
  <c r="L269" i="1"/>
  <c r="M269" i="1" s="1"/>
  <c r="K269" i="1"/>
  <c r="M268" i="1"/>
  <c r="K268" i="1"/>
  <c r="M267" i="1"/>
  <c r="K267" i="1"/>
  <c r="M266" i="1"/>
  <c r="K266" i="1"/>
  <c r="L265" i="1"/>
  <c r="M265" i="1" s="1"/>
  <c r="K265" i="1"/>
  <c r="M264" i="1"/>
  <c r="K264" i="1"/>
  <c r="L263" i="1"/>
  <c r="M263" i="1" s="1"/>
  <c r="K263" i="1"/>
  <c r="M262" i="1"/>
  <c r="K262" i="1"/>
  <c r="L261" i="1"/>
  <c r="M261" i="1" s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L254" i="1"/>
  <c r="M254" i="1" s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L243" i="1"/>
  <c r="M243" i="1" s="1"/>
  <c r="K243" i="1"/>
  <c r="L242" i="1"/>
  <c r="M242" i="1" s="1"/>
  <c r="K242" i="1"/>
  <c r="M241" i="1"/>
  <c r="K241" i="1"/>
  <c r="M240" i="1"/>
  <c r="K240" i="1"/>
  <c r="M239" i="1"/>
  <c r="K239" i="1"/>
  <c r="M238" i="1"/>
  <c r="K238" i="1"/>
  <c r="M237" i="1"/>
  <c r="K237" i="1"/>
  <c r="M236" i="1"/>
  <c r="K236" i="1"/>
  <c r="M235" i="1"/>
  <c r="L235" i="1"/>
  <c r="K235" i="1"/>
  <c r="M234" i="1"/>
  <c r="K234" i="1"/>
  <c r="J234" i="1"/>
  <c r="M233" i="1"/>
  <c r="K233" i="1"/>
  <c r="M232" i="1"/>
  <c r="L232" i="1"/>
  <c r="K232" i="1"/>
  <c r="M231" i="1"/>
  <c r="K231" i="1"/>
  <c r="L230" i="1"/>
  <c r="M230" i="1" s="1"/>
  <c r="K230" i="1"/>
  <c r="M229" i="1"/>
  <c r="L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M219" i="1"/>
  <c r="K219" i="1"/>
  <c r="M218" i="1"/>
  <c r="K218" i="1"/>
  <c r="M217" i="1"/>
  <c r="K217" i="1"/>
  <c r="M216" i="1"/>
  <c r="K216" i="1"/>
  <c r="L215" i="1"/>
  <c r="M215" i="1" s="1"/>
  <c r="K215" i="1"/>
  <c r="M214" i="1"/>
  <c r="K214" i="1"/>
  <c r="M213" i="1"/>
  <c r="K213" i="1"/>
  <c r="M212" i="1"/>
  <c r="K212" i="1"/>
  <c r="M211" i="1"/>
  <c r="K211" i="1"/>
  <c r="M210" i="1"/>
  <c r="K210" i="1"/>
  <c r="L209" i="1"/>
  <c r="M209" i="1" s="1"/>
  <c r="K209" i="1"/>
  <c r="M208" i="1"/>
  <c r="K208" i="1"/>
  <c r="M207" i="1"/>
  <c r="K207" i="1"/>
  <c r="M206" i="1"/>
  <c r="K206" i="1"/>
  <c r="M205" i="1"/>
  <c r="K205" i="1"/>
  <c r="L204" i="1"/>
  <c r="M204" i="1" s="1"/>
  <c r="K204" i="1"/>
  <c r="M203" i="1"/>
  <c r="K203" i="1"/>
  <c r="M202" i="1"/>
  <c r="K202" i="1"/>
  <c r="M201" i="1"/>
  <c r="J201" i="1"/>
  <c r="K201" i="1" s="1"/>
  <c r="L200" i="1"/>
  <c r="M200" i="1" s="1"/>
  <c r="K200" i="1"/>
  <c r="M199" i="1"/>
  <c r="K199" i="1"/>
  <c r="L198" i="1"/>
  <c r="M198" i="1" s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L190" i="1"/>
  <c r="M190" i="1" s="1"/>
  <c r="K190" i="1"/>
  <c r="M189" i="1"/>
  <c r="K189" i="1"/>
  <c r="M188" i="1"/>
  <c r="K188" i="1"/>
  <c r="M187" i="1"/>
  <c r="K187" i="1"/>
  <c r="M186" i="1"/>
  <c r="L186" i="1"/>
  <c r="K186" i="1"/>
  <c r="M185" i="1"/>
  <c r="K185" i="1"/>
  <c r="M184" i="1"/>
  <c r="K184" i="1"/>
  <c r="L183" i="1"/>
  <c r="M183" i="1" s="1"/>
  <c r="K183" i="1"/>
  <c r="M182" i="1"/>
  <c r="K182" i="1"/>
  <c r="M181" i="1"/>
  <c r="L181" i="1"/>
  <c r="K181" i="1"/>
  <c r="M180" i="1"/>
  <c r="K180" i="1"/>
  <c r="L179" i="1"/>
  <c r="M179" i="1" s="1"/>
  <c r="K179" i="1"/>
  <c r="M178" i="1"/>
  <c r="K178" i="1"/>
  <c r="L177" i="1"/>
  <c r="M177" i="1" s="1"/>
  <c r="K177" i="1"/>
  <c r="M176" i="1"/>
  <c r="K176" i="1"/>
  <c r="M175" i="1"/>
  <c r="K175" i="1"/>
  <c r="L174" i="1"/>
  <c r="M174" i="1" s="1"/>
  <c r="K174" i="1"/>
  <c r="M173" i="1"/>
  <c r="K173" i="1"/>
  <c r="L172" i="1"/>
  <c r="M172" i="1" s="1"/>
  <c r="K172" i="1"/>
  <c r="L171" i="1"/>
  <c r="M171" i="1" s="1"/>
  <c r="K171" i="1"/>
  <c r="L170" i="1"/>
  <c r="M170" i="1" s="1"/>
  <c r="K170" i="1"/>
  <c r="M169" i="1"/>
  <c r="K169" i="1"/>
  <c r="F7" i="11" s="1"/>
  <c r="M168" i="1"/>
  <c r="K168" i="1"/>
  <c r="M167" i="1"/>
  <c r="K167" i="1"/>
  <c r="M166" i="1"/>
  <c r="K166" i="1"/>
  <c r="M165" i="1"/>
  <c r="K165" i="1"/>
  <c r="M164" i="1"/>
  <c r="K164" i="1"/>
  <c r="M163" i="1"/>
  <c r="K163" i="1"/>
  <c r="L162" i="1"/>
  <c r="M162" i="1" s="1"/>
  <c r="K162" i="1"/>
  <c r="L161" i="1"/>
  <c r="M161" i="1" s="1"/>
  <c r="K161" i="1"/>
  <c r="M160" i="1"/>
  <c r="K160" i="1"/>
  <c r="M159" i="1"/>
  <c r="K159" i="1"/>
  <c r="M158" i="1"/>
  <c r="K158" i="1"/>
  <c r="M157" i="1"/>
  <c r="K157" i="1"/>
  <c r="M156" i="1"/>
  <c r="K156" i="1"/>
  <c r="L155" i="1"/>
  <c r="M155" i="1" s="1"/>
  <c r="K155" i="1"/>
  <c r="L154" i="1"/>
  <c r="M154" i="1" s="1"/>
  <c r="K154" i="1"/>
  <c r="L153" i="1"/>
  <c r="M153" i="1" s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M146" i="1"/>
  <c r="K146" i="1"/>
  <c r="L145" i="1"/>
  <c r="M145" i="1" s="1"/>
  <c r="K145" i="1"/>
  <c r="F9" i="11" s="1"/>
  <c r="M144" i="1"/>
  <c r="K144" i="1"/>
  <c r="M143" i="1"/>
  <c r="K143" i="1"/>
  <c r="M142" i="1"/>
  <c r="K142" i="1"/>
  <c r="L141" i="1"/>
  <c r="M141" i="1" s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M128" i="1"/>
  <c r="L128" i="1"/>
  <c r="K128" i="1"/>
  <c r="L127" i="1"/>
  <c r="M127" i="1" s="1"/>
  <c r="K127" i="1"/>
  <c r="M126" i="1"/>
  <c r="K126" i="1"/>
  <c r="M125" i="1"/>
  <c r="L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L112" i="1"/>
  <c r="M112" i="1" s="1"/>
  <c r="K112" i="1"/>
  <c r="M111" i="1"/>
  <c r="K111" i="1"/>
  <c r="M110" i="1"/>
  <c r="K110" i="1"/>
  <c r="M109" i="1"/>
  <c r="L109" i="1"/>
  <c r="K109" i="1"/>
  <c r="M108" i="1"/>
  <c r="K108" i="1"/>
  <c r="M107" i="1"/>
  <c r="K107" i="1"/>
  <c r="M106" i="1"/>
  <c r="K106" i="1"/>
  <c r="L105" i="1"/>
  <c r="M105" i="1" s="1"/>
  <c r="K105" i="1"/>
  <c r="M104" i="1"/>
  <c r="K104" i="1"/>
  <c r="M103" i="1"/>
  <c r="K103" i="1"/>
  <c r="M102" i="1"/>
  <c r="J102" i="1"/>
  <c r="K102" i="1" s="1"/>
  <c r="L101" i="1"/>
  <c r="M101" i="1" s="1"/>
  <c r="K101" i="1"/>
  <c r="M100" i="1"/>
  <c r="L100" i="1"/>
  <c r="K100" i="1"/>
  <c r="M99" i="1"/>
  <c r="K99" i="1"/>
  <c r="M98" i="1"/>
  <c r="K98" i="1"/>
  <c r="L97" i="1"/>
  <c r="M97" i="1" s="1"/>
  <c r="K97" i="1"/>
  <c r="M96" i="1"/>
  <c r="K96" i="1"/>
  <c r="M95" i="1"/>
  <c r="K95" i="1"/>
  <c r="M94" i="1"/>
  <c r="K94" i="1"/>
  <c r="M93" i="1"/>
  <c r="K93" i="1"/>
  <c r="M92" i="1"/>
  <c r="L92" i="1"/>
  <c r="K92" i="1"/>
  <c r="M91" i="1"/>
  <c r="K91" i="1"/>
  <c r="M90" i="1"/>
  <c r="K90" i="1"/>
  <c r="M89" i="1"/>
  <c r="K89" i="1"/>
  <c r="L88" i="1"/>
  <c r="M88" i="1" s="1"/>
  <c r="K88" i="1"/>
  <c r="M87" i="1"/>
  <c r="L87" i="1"/>
  <c r="K87" i="1"/>
  <c r="L86" i="1"/>
  <c r="M86" i="1" s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L72" i="1"/>
  <c r="K72" i="1"/>
  <c r="F8" i="11" s="1"/>
  <c r="M71" i="1"/>
  <c r="K71" i="1"/>
  <c r="M70" i="1"/>
  <c r="K70" i="1"/>
  <c r="L69" i="1"/>
  <c r="M69" i="1" s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L57" i="1"/>
  <c r="K57" i="1"/>
  <c r="F6" i="11" s="1"/>
  <c r="M56" i="1"/>
  <c r="K56" i="1"/>
  <c r="M55" i="1"/>
  <c r="K55" i="1"/>
  <c r="M54" i="1"/>
  <c r="K54" i="1"/>
  <c r="L53" i="1"/>
  <c r="M53" i="1" s="1"/>
  <c r="K53" i="1"/>
  <c r="M52" i="1"/>
  <c r="K52" i="1"/>
  <c r="M51" i="1"/>
  <c r="K51" i="1"/>
  <c r="M50" i="1"/>
  <c r="J50" i="1"/>
  <c r="K50" i="1" s="1"/>
  <c r="M49" i="1"/>
  <c r="K49" i="1"/>
  <c r="M48" i="1"/>
  <c r="K48" i="1"/>
  <c r="J48" i="1"/>
  <c r="M47" i="1"/>
  <c r="K47" i="1"/>
  <c r="M46" i="1"/>
  <c r="L46" i="1"/>
  <c r="K46" i="1"/>
  <c r="J46" i="1"/>
  <c r="M45" i="1"/>
  <c r="K45" i="1"/>
  <c r="M44" i="1"/>
  <c r="K44" i="1"/>
  <c r="M43" i="1"/>
  <c r="J43" i="1"/>
  <c r="K43" i="1" s="1"/>
  <c r="M42" i="1"/>
  <c r="K42" i="1"/>
  <c r="J42" i="1"/>
  <c r="M41" i="1"/>
  <c r="K41" i="1"/>
  <c r="M40" i="1"/>
  <c r="J40" i="1"/>
  <c r="K40" i="1" s="1"/>
  <c r="M39" i="1"/>
  <c r="K39" i="1"/>
  <c r="M38" i="1"/>
  <c r="K38" i="1"/>
  <c r="J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J25" i="1"/>
  <c r="K25" i="1" s="1"/>
  <c r="N24" i="1"/>
  <c r="M24" i="1"/>
  <c r="K24" i="1"/>
  <c r="M23" i="1"/>
  <c r="K23" i="1"/>
  <c r="M22" i="1"/>
  <c r="K22" i="1"/>
  <c r="M21" i="1"/>
  <c r="J21" i="1"/>
  <c r="K21" i="1" s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J13" i="1"/>
  <c r="M12" i="1"/>
  <c r="K12" i="1"/>
  <c r="M11" i="1"/>
  <c r="J11" i="1"/>
  <c r="K11" i="1" s="1"/>
  <c r="M10" i="1"/>
  <c r="K10" i="1"/>
  <c r="M9" i="1"/>
  <c r="K9" i="1"/>
  <c r="M8" i="1"/>
  <c r="K8" i="1"/>
  <c r="M7" i="1"/>
  <c r="K7" i="1"/>
  <c r="F5" i="11" s="1"/>
  <c r="M6" i="1"/>
  <c r="K6" i="1"/>
  <c r="M5" i="1"/>
  <c r="K5" i="1"/>
  <c r="D4" i="8" l="1"/>
  <c r="D22" i="8" s="1"/>
  <c r="E4" i="8"/>
  <c r="E22" i="8" s="1"/>
  <c r="C5" i="10"/>
  <c r="D5" i="10"/>
  <c r="E5" i="10"/>
  <c r="H5" i="10"/>
  <c r="I5" i="10"/>
  <c r="J5" i="10"/>
  <c r="C6" i="10"/>
  <c r="D6" i="10"/>
  <c r="E6" i="10"/>
  <c r="H6" i="10"/>
  <c r="I6" i="10"/>
  <c r="J6" i="10"/>
  <c r="C7" i="10"/>
  <c r="D7" i="10"/>
  <c r="E7" i="10"/>
  <c r="H7" i="10"/>
  <c r="I7" i="10"/>
  <c r="J7" i="10"/>
  <c r="C8" i="10"/>
  <c r="D8" i="10"/>
  <c r="E8" i="10"/>
  <c r="H8" i="10"/>
  <c r="I8" i="10"/>
  <c r="J8" i="10"/>
  <c r="C9" i="10"/>
  <c r="D9" i="10"/>
  <c r="E9" i="10"/>
  <c r="H9" i="10"/>
  <c r="I9" i="10"/>
  <c r="J9" i="10"/>
  <c r="C10" i="10"/>
  <c r="D10" i="10"/>
  <c r="E10" i="10"/>
  <c r="H10" i="10"/>
  <c r="I10" i="10"/>
  <c r="J10" i="10"/>
  <c r="C11" i="10"/>
  <c r="D11" i="10"/>
  <c r="E11" i="10"/>
  <c r="H11" i="10"/>
  <c r="I11" i="10"/>
  <c r="J11" i="10"/>
  <c r="J4" i="10"/>
  <c r="I4" i="10"/>
  <c r="H4" i="10"/>
  <c r="E4" i="10"/>
  <c r="D4" i="10"/>
  <c r="C4" i="10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C4" i="11"/>
  <c r="D4" i="11"/>
  <c r="G4" i="11"/>
  <c r="C19" i="11"/>
  <c r="D19" i="11"/>
  <c r="G19" i="11"/>
  <c r="C20" i="11"/>
  <c r="D20" i="11"/>
  <c r="G20" i="11"/>
  <c r="C21" i="11"/>
  <c r="D21" i="11"/>
  <c r="G21" i="11"/>
  <c r="C22" i="11"/>
  <c r="D22" i="11"/>
  <c r="G22" i="11"/>
  <c r="C23" i="11"/>
  <c r="D23" i="11"/>
  <c r="G23" i="11"/>
  <c r="C24" i="11"/>
  <c r="D24" i="11"/>
  <c r="G24" i="11"/>
  <c r="C25" i="11"/>
  <c r="D25" i="11"/>
  <c r="G25" i="11"/>
  <c r="C26" i="11"/>
  <c r="D26" i="11"/>
  <c r="G26" i="11"/>
  <c r="C27" i="11"/>
  <c r="D27" i="11"/>
  <c r="G27" i="11"/>
  <c r="C28" i="11"/>
  <c r="D28" i="11"/>
  <c r="G28" i="11"/>
  <c r="C29" i="11"/>
  <c r="D29" i="11"/>
  <c r="G29" i="11"/>
  <c r="G11" i="11"/>
  <c r="G12" i="11"/>
  <c r="G13" i="11"/>
  <c r="G14" i="11"/>
  <c r="G15" i="11"/>
  <c r="G16" i="11"/>
  <c r="G17" i="11"/>
  <c r="G18" i="11"/>
  <c r="D11" i="11"/>
  <c r="D12" i="11"/>
  <c r="D13" i="11"/>
  <c r="D14" i="11"/>
  <c r="D15" i="11"/>
  <c r="D16" i="11"/>
  <c r="D17" i="11"/>
  <c r="D18" i="11"/>
  <c r="C11" i="11"/>
  <c r="C12" i="11"/>
  <c r="C13" i="11"/>
  <c r="C14" i="11"/>
  <c r="C15" i="11"/>
  <c r="C16" i="11"/>
  <c r="C17" i="11"/>
  <c r="C18" i="11"/>
  <c r="G10" i="11"/>
  <c r="C10" i="11"/>
  <c r="D10" i="11"/>
  <c r="E15" i="8"/>
  <c r="D15" i="8"/>
  <c r="E5" i="13"/>
  <c r="E6" i="13"/>
  <c r="E7" i="13"/>
  <c r="E8" i="13"/>
  <c r="E9" i="13"/>
  <c r="E10" i="13"/>
  <c r="E11" i="13"/>
  <c r="E12" i="13"/>
  <c r="E13" i="13"/>
  <c r="E14" i="13"/>
  <c r="E15" i="13"/>
  <c r="E4" i="13"/>
  <c r="D5" i="13"/>
  <c r="D6" i="13"/>
  <c r="D7" i="13"/>
  <c r="D8" i="13"/>
  <c r="D9" i="13"/>
  <c r="D10" i="13"/>
  <c r="D11" i="13"/>
  <c r="D12" i="13"/>
  <c r="D13" i="13"/>
  <c r="D14" i="13"/>
  <c r="D15" i="13"/>
  <c r="D4" i="13"/>
  <c r="G11" i="10" l="1"/>
  <c r="F11" i="10"/>
  <c r="D13" i="9"/>
  <c r="G6" i="10"/>
  <c r="F6" i="10"/>
  <c r="F16" i="11"/>
  <c r="F18" i="11"/>
  <c r="D17" i="9"/>
  <c r="D8" i="9"/>
  <c r="F14" i="11"/>
  <c r="F12" i="11"/>
  <c r="D15" i="9"/>
  <c r="D15" i="7"/>
  <c r="F19" i="11"/>
  <c r="F17" i="11"/>
  <c r="F26" i="11"/>
  <c r="D11" i="9"/>
  <c r="F8" i="10"/>
  <c r="F22" i="11"/>
  <c r="D14" i="9"/>
  <c r="F24" i="11"/>
  <c r="F20" i="11"/>
  <c r="F28" i="11"/>
  <c r="D7" i="9"/>
  <c r="F21" i="11"/>
  <c r="D10" i="9"/>
  <c r="F13" i="11"/>
  <c r="D6" i="9"/>
  <c r="F27" i="11"/>
  <c r="D19" i="9"/>
  <c r="F29" i="11"/>
  <c r="D18" i="9"/>
  <c r="F15" i="11"/>
  <c r="F23" i="11"/>
  <c r="F9" i="10"/>
  <c r="F7" i="10"/>
  <c r="F25" i="11"/>
  <c r="F5" i="10" l="1"/>
  <c r="D16" i="9"/>
  <c r="F4" i="11"/>
  <c r="D9" i="9"/>
  <c r="F10" i="10"/>
  <c r="D5" i="9"/>
  <c r="F4" i="10"/>
  <c r="D4" i="9"/>
  <c r="D20" i="9"/>
  <c r="G5" i="10"/>
  <c r="G10" i="10"/>
  <c r="G4" i="10"/>
  <c r="G7" i="10"/>
  <c r="G9" i="10"/>
  <c r="F10" i="11"/>
  <c r="F11" i="11"/>
  <c r="G8" i="10"/>
  <c r="D12" i="9"/>
  <c r="F7" i="13"/>
  <c r="F10" i="13"/>
  <c r="F12" i="13"/>
  <c r="F13" i="13"/>
  <c r="F15" i="13"/>
  <c r="F4" i="13"/>
  <c r="F5" i="13"/>
  <c r="F6" i="13"/>
  <c r="F8" i="13"/>
  <c r="F9" i="13"/>
  <c r="F11" i="13"/>
  <c r="F14" i="13"/>
  <c r="C6" i="13" l="1"/>
  <c r="C7" i="13"/>
  <c r="C8" i="13"/>
  <c r="C9" i="13"/>
  <c r="C10" i="13"/>
  <c r="C11" i="13"/>
  <c r="C12" i="13"/>
  <c r="C13" i="13"/>
  <c r="C14" i="13"/>
  <c r="C15" i="13"/>
  <c r="C4" i="13"/>
  <c r="C5" i="13"/>
  <c r="C16" i="13" l="1"/>
  <c r="D16" i="13"/>
  <c r="E16" i="13" l="1"/>
  <c r="D30" i="11" l="1"/>
  <c r="G30" i="11"/>
  <c r="E30" i="11"/>
  <c r="C30" i="11"/>
  <c r="I12" i="10"/>
  <c r="E17" i="8"/>
  <c r="D17" i="8"/>
  <c r="E16" i="8"/>
  <c r="D16" i="8"/>
  <c r="E26" i="8"/>
  <c r="D26" i="8"/>
  <c r="E14" i="8"/>
  <c r="D14" i="8"/>
  <c r="E13" i="8"/>
  <c r="D13" i="8"/>
  <c r="E12" i="8"/>
  <c r="D12" i="8"/>
  <c r="E11" i="8"/>
  <c r="E25" i="8" s="1"/>
  <c r="D11" i="8"/>
  <c r="D25" i="8" s="1"/>
  <c r="E10" i="8"/>
  <c r="D10" i="8"/>
  <c r="E9" i="8"/>
  <c r="D9" i="8"/>
  <c r="E8" i="8"/>
  <c r="D8" i="8"/>
  <c r="E7" i="8"/>
  <c r="D7" i="8"/>
  <c r="E6" i="8"/>
  <c r="D6" i="8"/>
  <c r="E5" i="8"/>
  <c r="E23" i="8" s="1"/>
  <c r="D5" i="8"/>
  <c r="D23" i="8" s="1"/>
  <c r="S325" i="1"/>
  <c r="D9" i="7"/>
  <c r="D13" i="7"/>
  <c r="D11" i="7"/>
  <c r="D5" i="7"/>
  <c r="D23" i="7" s="1"/>
  <c r="D17" i="7"/>
  <c r="D16" i="7"/>
  <c r="P3" i="1"/>
  <c r="O3" i="1"/>
  <c r="N3" i="1"/>
  <c r="L3" i="1"/>
  <c r="J3" i="1"/>
  <c r="I3" i="1"/>
  <c r="D24" i="8" l="1"/>
  <c r="E24" i="8"/>
  <c r="L4" i="8"/>
  <c r="E18" i="8"/>
  <c r="D26" i="7"/>
  <c r="D12" i="7"/>
  <c r="D12" i="10"/>
  <c r="C12" i="10"/>
  <c r="K3" i="1"/>
  <c r="D4" i="7"/>
  <c r="D22" i="7" s="1"/>
  <c r="D6" i="7"/>
  <c r="D7" i="7"/>
  <c r="D18" i="8"/>
  <c r="E12" i="10"/>
  <c r="H12" i="10"/>
  <c r="J12" i="10"/>
  <c r="L20" i="9"/>
  <c r="M3" i="1"/>
  <c r="D8" i="7"/>
  <c r="D14" i="7"/>
  <c r="D10" i="7"/>
  <c r="D21" i="9" l="1"/>
  <c r="F16" i="13"/>
  <c r="D25" i="7"/>
  <c r="D24" i="7"/>
  <c r="D27" i="7"/>
  <c r="D18" i="7"/>
  <c r="K4" i="7"/>
  <c r="F30" i="11"/>
  <c r="G12" i="10"/>
  <c r="F12" i="10"/>
</calcChain>
</file>

<file path=xl/sharedStrings.xml><?xml version="1.0" encoding="utf-8"?>
<sst xmlns="http://schemas.openxmlformats.org/spreadsheetml/2006/main" count="1738" uniqueCount="452">
  <si>
    <t>Contract Date</t>
  </si>
  <si>
    <t>Direct Costs</t>
  </si>
  <si>
    <t>Product</t>
  </si>
  <si>
    <t>Net Sale</t>
  </si>
  <si>
    <t>Margin</t>
  </si>
  <si>
    <t>Comm $</t>
  </si>
  <si>
    <t>Comm %</t>
  </si>
  <si>
    <t>Customer</t>
  </si>
  <si>
    <t>Installer</t>
  </si>
  <si>
    <t>City</t>
  </si>
  <si>
    <t>Over (Under) Par</t>
  </si>
  <si>
    <t>Addtl Incent</t>
  </si>
  <si>
    <t xml:space="preserve">  </t>
  </si>
  <si>
    <t>W (A)</t>
  </si>
  <si>
    <t>IR</t>
  </si>
  <si>
    <t>Don</t>
  </si>
  <si>
    <t>B</t>
  </si>
  <si>
    <t>Chris M.</t>
  </si>
  <si>
    <t>K</t>
  </si>
  <si>
    <t>LC</t>
  </si>
  <si>
    <t>W</t>
  </si>
  <si>
    <t>OP</t>
  </si>
  <si>
    <t>Designer</t>
  </si>
  <si>
    <t>Average Margin</t>
  </si>
  <si>
    <t>VP</t>
  </si>
  <si>
    <t>#</t>
  </si>
  <si>
    <t>MW</t>
  </si>
  <si>
    <t>Nolan</t>
  </si>
  <si>
    <t>ABQ</t>
  </si>
  <si>
    <t>Candelaria</t>
  </si>
  <si>
    <t>FP</t>
  </si>
  <si>
    <t>BS</t>
  </si>
  <si>
    <t>Kolkmeyer</t>
  </si>
  <si>
    <t>CD</t>
  </si>
  <si>
    <t>Sandia Park</t>
  </si>
  <si>
    <t>Credit Card Fees</t>
  </si>
  <si>
    <t>Hicks</t>
  </si>
  <si>
    <t>Bachman</t>
  </si>
  <si>
    <t>Santa Fe</t>
  </si>
  <si>
    <t>LJ</t>
  </si>
  <si>
    <t>Gonzalez</t>
  </si>
  <si>
    <t>Rio Rancho</t>
  </si>
  <si>
    <t>Trujillo</t>
  </si>
  <si>
    <t>Abq</t>
  </si>
  <si>
    <t>Los Lunas</t>
  </si>
  <si>
    <t>Los Alamos</t>
  </si>
  <si>
    <t>Simakov</t>
  </si>
  <si>
    <t>Hedrick</t>
  </si>
  <si>
    <t>Williams</t>
  </si>
  <si>
    <t>Sanchez</t>
  </si>
  <si>
    <t>Butler</t>
  </si>
  <si>
    <t>Cordova</t>
  </si>
  <si>
    <t>EN</t>
  </si>
  <si>
    <t>Evans</t>
  </si>
  <si>
    <t>Bowlin</t>
  </si>
  <si>
    <t>Carter</t>
  </si>
  <si>
    <t>Katz</t>
  </si>
  <si>
    <t>Tijeras</t>
  </si>
  <si>
    <t>Notes</t>
  </si>
  <si>
    <t>SR-VV</t>
  </si>
  <si>
    <t>SR-306</t>
  </si>
  <si>
    <t>SR-206</t>
  </si>
  <si>
    <t>SR-406</t>
  </si>
  <si>
    <t>Overall average</t>
  </si>
  <si>
    <t>Sunroom</t>
  </si>
  <si>
    <t>Windows</t>
  </si>
  <si>
    <t>Patio Covers</t>
  </si>
  <si>
    <t>Kitchen &amp; Bath</t>
  </si>
  <si>
    <t>Category</t>
  </si>
  <si>
    <t>Average margin by product</t>
  </si>
  <si>
    <t>Average Sale</t>
  </si>
  <si>
    <t>PC &amp; SR</t>
  </si>
  <si>
    <t>Total sales</t>
  </si>
  <si>
    <t>x̅ Sale</t>
  </si>
  <si>
    <t>x̅ Margin</t>
  </si>
  <si>
    <t>x̅ Comm %</t>
  </si>
  <si>
    <t>x̅ Over/Under</t>
  </si>
  <si>
    <t>x̅ Additional incentive</t>
  </si>
  <si>
    <t>Total additional incentive</t>
  </si>
  <si>
    <t>Total # of sales</t>
  </si>
  <si>
    <t>Bernalillo</t>
  </si>
  <si>
    <t>Totals to date</t>
  </si>
  <si>
    <t>Product by classification</t>
  </si>
  <si>
    <t>Average margin</t>
  </si>
  <si>
    <t>Location</t>
  </si>
  <si>
    <t>Total # of sales closed</t>
  </si>
  <si>
    <t>Barnish</t>
  </si>
  <si>
    <t>Maes</t>
  </si>
  <si>
    <t>Inn. Design</t>
  </si>
  <si>
    <t>Thomas</t>
  </si>
  <si>
    <t>JG</t>
  </si>
  <si>
    <t>Mook</t>
  </si>
  <si>
    <t>Marco</t>
  </si>
  <si>
    <t>Mike R.</t>
  </si>
  <si>
    <t>Salazar</t>
  </si>
  <si>
    <t>Benavidez</t>
  </si>
  <si>
    <t>Taylor</t>
  </si>
  <si>
    <t>Clovis</t>
  </si>
  <si>
    <t>Burns</t>
  </si>
  <si>
    <t>Lees</t>
  </si>
  <si>
    <t>Placitas</t>
  </si>
  <si>
    <t>Velasquez</t>
  </si>
  <si>
    <t>Gregory</t>
  </si>
  <si>
    <t>Lucero</t>
  </si>
  <si>
    <t>D</t>
  </si>
  <si>
    <t>Jordan</t>
  </si>
  <si>
    <t>Smyser</t>
  </si>
  <si>
    <t>Fowler</t>
  </si>
  <si>
    <t>Woods</t>
  </si>
  <si>
    <t>Richardson</t>
  </si>
  <si>
    <t>Blaha</t>
  </si>
  <si>
    <t>Corrales</t>
  </si>
  <si>
    <t>Espanola</t>
  </si>
  <si>
    <t>Padilla</t>
  </si>
  <si>
    <t>Keller</t>
  </si>
  <si>
    <t>Aragon</t>
  </si>
  <si>
    <t>Brown</t>
  </si>
  <si>
    <t>Uncategorized</t>
  </si>
  <si>
    <t>Total Margin</t>
  </si>
  <si>
    <t>Thomas S.</t>
  </si>
  <si>
    <t>Guerrero</t>
  </si>
  <si>
    <t>Robert T.</t>
  </si>
  <si>
    <t>Ciccateri</t>
  </si>
  <si>
    <t>Artesia</t>
  </si>
  <si>
    <t>Webster</t>
  </si>
  <si>
    <t>Urenda</t>
  </si>
  <si>
    <t>Costs were $110.08 higher than expected - CC fees: $141</t>
  </si>
  <si>
    <t>Lyke / Sanchez</t>
  </si>
  <si>
    <t>Rob S.</t>
  </si>
  <si>
    <t>Fascitelli</t>
  </si>
  <si>
    <t>Fitzpatrick</t>
  </si>
  <si>
    <t>Costs were $350 higher than expected - $240 in CC fees &amp; Moentrol adder is $80 in pricing, but costs  $137.13 more.</t>
  </si>
  <si>
    <t>Kalus</t>
  </si>
  <si>
    <t>Schatz</t>
  </si>
  <si>
    <t>* $106.50 in CC fees (Service call performed on 4/12/19 for $94.24)</t>
  </si>
  <si>
    <t>Russ T.</t>
  </si>
  <si>
    <t>Hensler</t>
  </si>
  <si>
    <t>* $255 in CC fees</t>
  </si>
  <si>
    <t>Lawrence/Escamilla</t>
  </si>
  <si>
    <t>Ornelas</t>
  </si>
  <si>
    <t>Costs of grab bars higher than accounted for</t>
  </si>
  <si>
    <t>Artuso</t>
  </si>
  <si>
    <t>Costs were 1019.95 higher than expected - A few items missed by sales, $210 charged by Elwood not accounted for.</t>
  </si>
  <si>
    <t>MS</t>
  </si>
  <si>
    <t>Prime Time</t>
  </si>
  <si>
    <t>Gonzales</t>
  </si>
  <si>
    <t>NS</t>
  </si>
  <si>
    <t>Sigmon / Hamilton (K)</t>
  </si>
  <si>
    <t>USW wouldn't uphold their pricing. (sold w/ PDs &amp; contract separated.)</t>
  </si>
  <si>
    <t>Sigmon / Hamilton (W)</t>
  </si>
  <si>
    <t>Buenaventura</t>
  </si>
  <si>
    <t>Job cost $112 more than anticipated ($129.60 in CC fees)</t>
  </si>
  <si>
    <t xml:space="preserve"> Costs were $179 higher than expected: $646.50 in CC fees.</t>
  </si>
  <si>
    <t>Goatcher</t>
  </si>
  <si>
    <t>Minimum of $300 charged for installation - Pricing for upgrading SR glass does not show a minimum</t>
  </si>
  <si>
    <t>House</t>
  </si>
  <si>
    <t>Silsbee</t>
  </si>
  <si>
    <t>Not in LP</t>
  </si>
  <si>
    <t>Bublitz</t>
  </si>
  <si>
    <t>Costs were $603 higher than expected: Permit / site check costs were higher than expected, extra trip from installer for final permit</t>
  </si>
  <si>
    <t>Paez/Campos (PD)</t>
  </si>
  <si>
    <t>Roswell</t>
  </si>
  <si>
    <t>Hinders</t>
  </si>
  <si>
    <t>Conway</t>
  </si>
  <si>
    <t>Stucco patch by Western Wall raw cost was $40 higher perwindow than expected</t>
  </si>
  <si>
    <t>Brockway</t>
  </si>
  <si>
    <t>Tile cost was significantly more than $5 sq. ft. - Add'l labor added to job ($170)</t>
  </si>
  <si>
    <t>Baker</t>
  </si>
  <si>
    <t xml:space="preserve">Costs $450.65 more than expected ($288 in CC fees, </t>
  </si>
  <si>
    <t>Slokum/Oliver</t>
  </si>
  <si>
    <t>Amaro</t>
  </si>
  <si>
    <t>Travis</t>
  </si>
  <si>
    <t>Gordon</t>
  </si>
  <si>
    <t>Kernen</t>
  </si>
  <si>
    <t>Boom</t>
  </si>
  <si>
    <t>$360 in CC fees not accounted for (Margin is 53.5% w/o cc fee)</t>
  </si>
  <si>
    <t>Preece</t>
  </si>
  <si>
    <t>Stephens</t>
  </si>
  <si>
    <t>Stucco patch by Western Wall raw cost was $57 higher per window than expected</t>
  </si>
  <si>
    <t>Brodie</t>
  </si>
  <si>
    <t>Cust not happy with flashing - Marco service: $123.60 - CC fees not accounted for: $237 (Margin should be 51.6%)</t>
  </si>
  <si>
    <t>Roujansky</t>
  </si>
  <si>
    <t>USW over-charged us $273.58 (removed 6.5 sq. ft. of backsplash) $320.37 in CC fees not accounted for (Margin should be 55%)</t>
  </si>
  <si>
    <t>Allen (W)</t>
  </si>
  <si>
    <t>CC fees of 201.45 + stucco patch increased cost by 140</t>
  </si>
  <si>
    <t>Malaga</t>
  </si>
  <si>
    <t>Vasquez</t>
  </si>
  <si>
    <t>Woll</t>
  </si>
  <si>
    <t>$150 "return trip" charged by installed for AZSD. Shower door cost $83 more than expected</t>
  </si>
  <si>
    <t>Contract said 3 post holes, sold w/ 2, then discount given for the 3rd.</t>
  </si>
  <si>
    <t>Kromer</t>
  </si>
  <si>
    <t>CC fee of $93 (reduced margin from 57.2%) Installer charged $120 for footers instead of $60 (non-permit)</t>
  </si>
  <si>
    <t>Lawrence / Escamilla</t>
  </si>
  <si>
    <t>Van Patten</t>
  </si>
  <si>
    <t>Electrical was $525 higher than expected: (220 v HR added to electrical, not in contract (raw cost $600)</t>
  </si>
  <si>
    <t>Garcia</t>
  </si>
  <si>
    <t>Geiwitz</t>
  </si>
  <si>
    <t>Swanson</t>
  </si>
  <si>
    <t>Allen</t>
  </si>
  <si>
    <t>Actual costs higher</t>
  </si>
  <si>
    <t>Paez/Campos</t>
  </si>
  <si>
    <t>Phillips</t>
  </si>
  <si>
    <t>Curtiss</t>
  </si>
  <si>
    <t>Did not tally all actual costs</t>
  </si>
  <si>
    <t>Genzone</t>
  </si>
  <si>
    <t>Jaramillo</t>
  </si>
  <si>
    <t>Miller</t>
  </si>
  <si>
    <t>Smith</t>
  </si>
  <si>
    <t>Sullivan</t>
  </si>
  <si>
    <t>TR</t>
  </si>
  <si>
    <t>Warrington</t>
  </si>
  <si>
    <t>Merida</t>
  </si>
  <si>
    <t xml:space="preserve">Did not include enough for concrete, pump, breakout </t>
  </si>
  <si>
    <t>McCaffery</t>
  </si>
  <si>
    <t>White</t>
  </si>
  <si>
    <t>Cahill</t>
  </si>
  <si>
    <t>Wolters</t>
  </si>
  <si>
    <t>Guinn</t>
  </si>
  <si>
    <t>Capitan</t>
  </si>
  <si>
    <t>Trejo</t>
  </si>
  <si>
    <t>Vallone</t>
  </si>
  <si>
    <t>Could have been price increase after Nakita sold.</t>
  </si>
  <si>
    <t>Ellard</t>
  </si>
  <si>
    <t>Extremely low margin on this job.</t>
  </si>
  <si>
    <t>Pricing went up on windows after sale</t>
  </si>
  <si>
    <t>Rivas</t>
  </si>
  <si>
    <t>Argano</t>
  </si>
  <si>
    <t>Pan/Zhou</t>
  </si>
  <si>
    <t>Alexander</t>
  </si>
  <si>
    <t>Forgot second story fee, operable pergola needs price increase.</t>
  </si>
  <si>
    <t>Graham</t>
  </si>
  <si>
    <t>Puccetti</t>
  </si>
  <si>
    <t>Martin</t>
  </si>
  <si>
    <t>Wiggins</t>
  </si>
  <si>
    <t>Bates</t>
  </si>
  <si>
    <t>Spears</t>
  </si>
  <si>
    <t xml:space="preserve">High margin </t>
  </si>
  <si>
    <t>Solomon</t>
  </si>
  <si>
    <t>Bresson</t>
  </si>
  <si>
    <t>Chavez/Garcia</t>
  </si>
  <si>
    <t>Joyce</t>
  </si>
  <si>
    <t>Tanty</t>
  </si>
  <si>
    <t>Tompkin</t>
  </si>
  <si>
    <t>Travel for service reduced margin, wrong window ordered.</t>
  </si>
  <si>
    <t>Irusta</t>
  </si>
  <si>
    <t xml:space="preserve">Added Stucco Repair </t>
  </si>
  <si>
    <t>Gurule</t>
  </si>
  <si>
    <t xml:space="preserve">Missed 3 stucco repair for total of 14 and some windows were off on pricing. </t>
  </si>
  <si>
    <t>Garduno</t>
  </si>
  <si>
    <t>Shull</t>
  </si>
  <si>
    <t>Missed c beam inserts, actual construction used 20 LF</t>
  </si>
  <si>
    <t>Ankrum</t>
  </si>
  <si>
    <t>Appears he used old pricing when he should have used pricing from 3/1/19. All window prices are off.</t>
  </si>
  <si>
    <t>Armijo</t>
  </si>
  <si>
    <t>Extra home depot supplies impacted over/under</t>
  </si>
  <si>
    <t>Kistin</t>
  </si>
  <si>
    <t>Facteau</t>
  </si>
  <si>
    <t xml:space="preserve">Moved Jetted Tub is PLF and she only had 1 LF. </t>
  </si>
  <si>
    <t>Ruidoso</t>
  </si>
  <si>
    <t>Shafer</t>
  </si>
  <si>
    <t>Gorman</t>
  </si>
  <si>
    <t>Crook</t>
  </si>
  <si>
    <t>Offersen</t>
  </si>
  <si>
    <t>Davis</t>
  </si>
  <si>
    <t>C/O was not calculated accurately and caused margin to decrease</t>
  </si>
  <si>
    <t>Wetherbe</t>
  </si>
  <si>
    <t>Hendrick</t>
  </si>
  <si>
    <t>Devoti</t>
  </si>
  <si>
    <t xml:space="preserve">Tile for Flooring was under estimated by 30 sq. ft. but we did not charge her for it. </t>
  </si>
  <si>
    <t>Soccoro</t>
  </si>
  <si>
    <t>Ortiz</t>
  </si>
  <si>
    <t>Simmons</t>
  </si>
  <si>
    <t>Powner</t>
  </si>
  <si>
    <t>Maura</t>
  </si>
  <si>
    <t>Kircher</t>
  </si>
  <si>
    <t>Hamblet</t>
  </si>
  <si>
    <t>Reinforce eave required, not included in price.</t>
  </si>
  <si>
    <t>Guaderrama</t>
  </si>
  <si>
    <t>Wiskup</t>
  </si>
  <si>
    <t>Morgan</t>
  </si>
  <si>
    <t>Juarez</t>
  </si>
  <si>
    <t>Skidmore</t>
  </si>
  <si>
    <t>Baskin</t>
  </si>
  <si>
    <t>Nic Rios</t>
  </si>
  <si>
    <t>Hoff</t>
  </si>
  <si>
    <t>Whelen</t>
  </si>
  <si>
    <t>Hyde</t>
  </si>
  <si>
    <t>Schulze</t>
  </si>
  <si>
    <t>Schwarz</t>
  </si>
  <si>
    <t>Mirate</t>
  </si>
  <si>
    <t>Valdez</t>
  </si>
  <si>
    <t>Terry</t>
  </si>
  <si>
    <t>Curtis</t>
  </si>
  <si>
    <t>Greenwood</t>
  </si>
  <si>
    <t>Carlsbad</t>
  </si>
  <si>
    <t>Mendez</t>
  </si>
  <si>
    <t>Hodnett</t>
  </si>
  <si>
    <t>Skinner</t>
  </si>
  <si>
    <t>Leverich</t>
  </si>
  <si>
    <t>Heshley</t>
  </si>
  <si>
    <t>Hahn</t>
  </si>
  <si>
    <t>Hewitt</t>
  </si>
  <si>
    <t>De Lillo</t>
  </si>
  <si>
    <t>Sieben</t>
  </si>
  <si>
    <t>Margin would be better if it wasn't for home depot supplies, good example for Onyx pricing.</t>
  </si>
  <si>
    <t>BRW LLC</t>
  </si>
  <si>
    <t>Begay</t>
  </si>
  <si>
    <t>Estancia</t>
  </si>
  <si>
    <t>Stephenson</t>
  </si>
  <si>
    <t>Stout</t>
  </si>
  <si>
    <t>Vaughn</t>
  </si>
  <si>
    <t>Ausderau</t>
  </si>
  <si>
    <t>Elgar</t>
  </si>
  <si>
    <t>Pending further expenses</t>
  </si>
  <si>
    <t>Hickey</t>
  </si>
  <si>
    <t>Kinley</t>
  </si>
  <si>
    <t>Francisco</t>
  </si>
  <si>
    <t>Callisto</t>
  </si>
  <si>
    <t>Zrakovi</t>
  </si>
  <si>
    <t>Wright</t>
  </si>
  <si>
    <t>Blunn</t>
  </si>
  <si>
    <t>Brummett</t>
  </si>
  <si>
    <t>Romero</t>
  </si>
  <si>
    <t>Adkins</t>
  </si>
  <si>
    <t>Edgewood</t>
  </si>
  <si>
    <t>Wayne</t>
  </si>
  <si>
    <t>McGriff</t>
  </si>
  <si>
    <t>Isis</t>
  </si>
  <si>
    <t>Conklin</t>
  </si>
  <si>
    <t>Ingram (1)</t>
  </si>
  <si>
    <t>Ingram (2)</t>
  </si>
  <si>
    <t>Cole</t>
  </si>
  <si>
    <t>Tajique</t>
  </si>
  <si>
    <t>Tapia</t>
  </si>
  <si>
    <t>Plumlee</t>
  </si>
  <si>
    <t>Chavez, Esther</t>
  </si>
  <si>
    <t>Merson</t>
  </si>
  <si>
    <t>Chavez, David</t>
  </si>
  <si>
    <t>Slater</t>
  </si>
  <si>
    <t>McLaughlin</t>
  </si>
  <si>
    <t>Aken</t>
  </si>
  <si>
    <t>Hill</t>
  </si>
  <si>
    <t>Lupar</t>
  </si>
  <si>
    <t>Dodd</t>
  </si>
  <si>
    <t>Sandoval</t>
  </si>
  <si>
    <t>Giese</t>
  </si>
  <si>
    <t>Ferrier</t>
  </si>
  <si>
    <t>Chavez/Miller</t>
  </si>
  <si>
    <t>Butler, Mary</t>
  </si>
  <si>
    <t>Witti</t>
  </si>
  <si>
    <t>Quintana</t>
  </si>
  <si>
    <t>Pricing issues with Onyx &amp; Luxart caused poor margin.</t>
  </si>
  <si>
    <t>Velarde</t>
  </si>
  <si>
    <t>Saiz</t>
  </si>
  <si>
    <t>Baymiller</t>
  </si>
  <si>
    <t>Smoker</t>
  </si>
  <si>
    <t>Schulte</t>
  </si>
  <si>
    <t>Tierney</t>
  </si>
  <si>
    <t>Cedar Crest</t>
  </si>
  <si>
    <t>Mount</t>
  </si>
  <si>
    <t>Brennan</t>
  </si>
  <si>
    <t>Railey</t>
  </si>
  <si>
    <t>Rogers/Lundgren</t>
  </si>
  <si>
    <t>Jose</t>
  </si>
  <si>
    <t>Brichta</t>
  </si>
  <si>
    <t>McClure</t>
  </si>
  <si>
    <t>Albright</t>
  </si>
  <si>
    <t>Sturtevant</t>
  </si>
  <si>
    <t>Bell</t>
  </si>
  <si>
    <t>Godinez</t>
  </si>
  <si>
    <t>Pierce</t>
  </si>
  <si>
    <t>McClelland</t>
  </si>
  <si>
    <t>Bartoshevich</t>
  </si>
  <si>
    <t>Braley/Ippolito</t>
  </si>
  <si>
    <t>Hernandez</t>
  </si>
  <si>
    <t>Mallett/Serrano</t>
  </si>
  <si>
    <t>Rangel</t>
  </si>
  <si>
    <t>Weston</t>
  </si>
  <si>
    <t>AB Plumb</t>
  </si>
  <si>
    <t>Manning</t>
  </si>
  <si>
    <t>Valenzuela</t>
  </si>
  <si>
    <t>Eicker</t>
  </si>
  <si>
    <t>Ramirez</t>
  </si>
  <si>
    <t>Roybal</t>
  </si>
  <si>
    <t>Kuhns</t>
  </si>
  <si>
    <t>Nielsen</t>
  </si>
  <si>
    <t>Bosque Farms</t>
  </si>
  <si>
    <t>Anfinson</t>
  </si>
  <si>
    <t>Tome</t>
  </si>
  <si>
    <t>Romero, Rick</t>
  </si>
  <si>
    <t>Davenport</t>
  </si>
  <si>
    <t>Cito/Larsen</t>
  </si>
  <si>
    <t>Zwickie</t>
  </si>
  <si>
    <t>Quinn</t>
  </si>
  <si>
    <t>Toas</t>
  </si>
  <si>
    <t>Hauser</t>
  </si>
  <si>
    <t>Muron</t>
  </si>
  <si>
    <t>Fenoglio</t>
  </si>
  <si>
    <t>Musarra</t>
  </si>
  <si>
    <t>Trujillo (LC)</t>
  </si>
  <si>
    <t>Latham</t>
  </si>
  <si>
    <t>Goss</t>
  </si>
  <si>
    <t>Gavin</t>
  </si>
  <si>
    <t>Eachus</t>
  </si>
  <si>
    <t>George</t>
  </si>
  <si>
    <t>Favis</t>
  </si>
  <si>
    <t>Brad H</t>
  </si>
  <si>
    <t>Fowles</t>
  </si>
  <si>
    <t>Andersen</t>
  </si>
  <si>
    <t>McKay</t>
  </si>
  <si>
    <t>Wallace</t>
  </si>
  <si>
    <t>Marquez</t>
  </si>
  <si>
    <t>Wallace (2)</t>
  </si>
  <si>
    <t>Crawford</t>
  </si>
  <si>
    <t>Crawford (2)</t>
  </si>
  <si>
    <t>Worley</t>
  </si>
  <si>
    <t>Stanley</t>
  </si>
  <si>
    <t>Mayrant</t>
  </si>
  <si>
    <t>Peacock</t>
  </si>
  <si>
    <t>Uotila-Long</t>
  </si>
  <si>
    <t>Yamashita</t>
  </si>
  <si>
    <t>Brittain</t>
  </si>
  <si>
    <t>Fox</t>
  </si>
  <si>
    <t>Oderman</t>
  </si>
  <si>
    <t>Schwartz</t>
  </si>
  <si>
    <t>Romero, Charles</t>
  </si>
  <si>
    <t>Finch</t>
  </si>
  <si>
    <t>HDAC/Peters</t>
  </si>
  <si>
    <t>Duberry</t>
  </si>
  <si>
    <t>Spinar</t>
  </si>
  <si>
    <t xml:space="preserve">Negative Back Half </t>
  </si>
  <si>
    <t>Gutierrez</t>
  </si>
  <si>
    <t>Osbourne</t>
  </si>
  <si>
    <t>Payne</t>
  </si>
  <si>
    <t>Franco</t>
  </si>
  <si>
    <t>Romero, Kristen</t>
  </si>
  <si>
    <t>Kelly</t>
  </si>
  <si>
    <t>IR-OP</t>
  </si>
  <si>
    <t>SR-Sky</t>
  </si>
  <si>
    <t>2019 Job Cost, Margin and Commission Summary</t>
  </si>
  <si>
    <t>Bath</t>
  </si>
  <si>
    <t>Kitchen</t>
  </si>
  <si>
    <t>Jobs Installed</t>
  </si>
  <si>
    <t>B-FR</t>
  </si>
  <si>
    <t>Chris M</t>
  </si>
  <si>
    <t>Mike R</t>
  </si>
  <si>
    <t>Rob S</t>
  </si>
  <si>
    <t>Robert T</t>
  </si>
  <si>
    <t>Russ T</t>
  </si>
  <si>
    <t>Thomas S</t>
  </si>
  <si>
    <t>Nic R</t>
  </si>
  <si>
    <t>Socorro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</si>
</sst>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mm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9" fontId="1" fillId="0" borderId="0" xfId="0" applyNumberFormat="1" applyFont="1"/>
    <xf numFmtId="164" fontId="0" fillId="0" borderId="0" xfId="0" applyNumberFormat="1"/>
    <xf numFmtId="40" fontId="0" fillId="0" borderId="0" xfId="0" applyNumberFormat="1"/>
    <xf numFmtId="40" fontId="1" fillId="0" borderId="0" xfId="0" applyNumberFormat="1" applyFont="1"/>
    <xf numFmtId="2" fontId="1" fillId="0" borderId="0" xfId="0" applyNumberFormat="1" applyFont="1"/>
    <xf numFmtId="14" fontId="1" fillId="0" borderId="1" xfId="0" applyNumberFormat="1" applyFont="1" applyBorder="1" applyAlignment="1">
      <alignment horizontal="center"/>
    </xf>
    <xf numFmtId="40" fontId="1" fillId="0" borderId="1" xfId="0" applyNumberFormat="1" applyFont="1" applyBorder="1"/>
    <xf numFmtId="40" fontId="0" fillId="0" borderId="1" xfId="0" applyNumberFormat="1" applyBorder="1"/>
    <xf numFmtId="0" fontId="1" fillId="0" borderId="0" xfId="0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40" fontId="0" fillId="0" borderId="0" xfId="0" applyNumberFormat="1" applyAlignment="1">
      <alignment horizontal="center"/>
    </xf>
    <xf numFmtId="39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Fill="1"/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4" fontId="3" fillId="0" borderId="6" xfId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44" fontId="3" fillId="0" borderId="8" xfId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0" fillId="0" borderId="0" xfId="0" applyFill="1"/>
    <xf numFmtId="10" fontId="0" fillId="0" borderId="19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0" xfId="0" applyFill="1" applyBorder="1" applyAlignment="1"/>
    <xf numFmtId="1" fontId="0" fillId="0" borderId="22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9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0" borderId="27" xfId="0" applyBorder="1"/>
    <xf numFmtId="0" fontId="0" fillId="0" borderId="10" xfId="0" applyBorder="1"/>
    <xf numFmtId="0" fontId="0" fillId="0" borderId="28" xfId="0" applyBorder="1" applyAlignment="1">
      <alignment horizontal="center"/>
    </xf>
    <xf numFmtId="0" fontId="0" fillId="0" borderId="0" xfId="0" applyBorder="1"/>
    <xf numFmtId="0" fontId="0" fillId="0" borderId="29" xfId="0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27" xfId="0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5" fontId="0" fillId="0" borderId="30" xfId="0" applyNumberForma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28" xfId="0" applyBorder="1"/>
    <xf numFmtId="0" fontId="0" fillId="0" borderId="11" xfId="0" applyBorder="1"/>
    <xf numFmtId="164" fontId="0" fillId="0" borderId="4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0" fontId="0" fillId="0" borderId="32" xfId="0" applyNumberFormat="1" applyBorder="1" applyAlignment="1">
      <alignment horizontal="center"/>
    </xf>
    <xf numFmtId="0" fontId="1" fillId="0" borderId="1" xfId="0" applyFont="1" applyBorder="1"/>
    <xf numFmtId="39" fontId="1" fillId="0" borderId="1" xfId="0" applyNumberFormat="1" applyFont="1" applyBorder="1"/>
    <xf numFmtId="164" fontId="1" fillId="0" borderId="1" xfId="0" applyNumberFormat="1" applyFont="1" applyBorder="1"/>
    <xf numFmtId="40" fontId="1" fillId="0" borderId="2" xfId="0" applyNumberFormat="1" applyFont="1" applyBorder="1"/>
    <xf numFmtId="164" fontId="1" fillId="6" borderId="1" xfId="0" applyNumberFormat="1" applyFont="1" applyFill="1" applyBorder="1"/>
    <xf numFmtId="164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0" fillId="0" borderId="23" xfId="0" applyNumberFormat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" xfId="0" applyBorder="1"/>
    <xf numFmtId="39" fontId="0" fillId="0" borderId="1" xfId="0" applyNumberFormat="1" applyBorder="1"/>
    <xf numFmtId="40" fontId="0" fillId="0" borderId="2" xfId="0" applyNumberFormat="1" applyBorder="1"/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39" fontId="0" fillId="0" borderId="1" xfId="0" applyNumberFormat="1" applyFill="1" applyBorder="1"/>
    <xf numFmtId="164" fontId="1" fillId="0" borderId="1" xfId="0" applyNumberFormat="1" applyFont="1" applyFill="1" applyBorder="1"/>
    <xf numFmtId="40" fontId="0" fillId="0" borderId="1" xfId="0" applyNumberFormat="1" applyFill="1" applyBorder="1"/>
    <xf numFmtId="40" fontId="0" fillId="0" borderId="2" xfId="0" applyNumberFormat="1" applyFill="1" applyBorder="1"/>
    <xf numFmtId="0" fontId="1" fillId="6" borderId="1" xfId="0" applyFont="1" applyFill="1" applyBorder="1"/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/>
    <xf numFmtId="1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9" xfId="0" applyNumberForma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" fontId="3" fillId="4" borderId="10" xfId="0" applyNumberFormat="1" applyFont="1" applyFill="1" applyBorder="1" applyAlignment="1">
      <alignment horizontal="center" vertical="center" wrapText="1"/>
    </xf>
    <xf numFmtId="1" fontId="3" fillId="4" borderId="12" xfId="0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0" fillId="4" borderId="23" xfId="0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 wrapText="1"/>
    </xf>
    <xf numFmtId="165" fontId="4" fillId="0" borderId="14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0" fontId="4" fillId="0" borderId="15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/>
    </xf>
    <xf numFmtId="10" fontId="4" fillId="0" borderId="10" xfId="0" applyNumberFormat="1" applyFont="1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Margin Analysis'!$D$2</c:f>
              <c:strCache>
                <c:ptCount val="1"/>
                <c:pt idx="0">
                  <c:v>Average margin by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Analysis'!$C$4:$C$17</c:f>
              <c:strCache>
                <c:ptCount val="14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D</c:v>
                </c:pt>
                <c:pt idx="12">
                  <c:v>W (A)</c:v>
                </c:pt>
                <c:pt idx="13">
                  <c:v>W</c:v>
                </c:pt>
              </c:strCache>
            </c:strRef>
          </c:cat>
          <c:val>
            <c:numRef>
              <c:f>'Product Margin Analysis'!$D$4:$D$17</c:f>
              <c:numCache>
                <c:formatCode>0.0%</c:formatCode>
                <c:ptCount val="14"/>
                <c:pt idx="0">
                  <c:v>0.45264932933165319</c:v>
                </c:pt>
                <c:pt idx="1">
                  <c:v>0.4546760072282871</c:v>
                </c:pt>
                <c:pt idx="2">
                  <c:v>0.54212624349998939</c:v>
                </c:pt>
                <c:pt idx="3">
                  <c:v>0.518462821021767</c:v>
                </c:pt>
                <c:pt idx="4">
                  <c:v>0.50634367437343264</c:v>
                </c:pt>
                <c:pt idx="5">
                  <c:v>0.4888550922063139</c:v>
                </c:pt>
                <c:pt idx="6">
                  <c:v>0.54324763133876341</c:v>
                </c:pt>
                <c:pt idx="7">
                  <c:v>0.49777090680637553</c:v>
                </c:pt>
                <c:pt idx="8">
                  <c:v>0.52865113956105148</c:v>
                </c:pt>
                <c:pt idx="9">
                  <c:v>0.54509911058398341</c:v>
                </c:pt>
                <c:pt idx="10">
                  <c:v>0.59579183166547256</c:v>
                </c:pt>
                <c:pt idx="11">
                  <c:v>0.45479662014549571</c:v>
                </c:pt>
                <c:pt idx="12">
                  <c:v>0.54518748143732021</c:v>
                </c:pt>
                <c:pt idx="13">
                  <c:v>0.4820556827259862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gapDepth val="100"/>
        <c:shape val="box"/>
        <c:axId val="552388944"/>
        <c:axId val="552385024"/>
        <c:axId val="0"/>
      </c:bar3DChart>
      <c:catAx>
        <c:axId val="5523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5024"/>
        <c:crosses val="autoZero"/>
        <c:auto val="1"/>
        <c:lblAlgn val="ctr"/>
        <c:lblOffset val="100"/>
        <c:noMultiLvlLbl val="0"/>
      </c:catAx>
      <c:valAx>
        <c:axId val="552385024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BS</c:v>
                </c:pt>
                <c:pt idx="1">
                  <c:v>CD</c:v>
                </c:pt>
                <c:pt idx="2">
                  <c:v>EN</c:v>
                </c:pt>
                <c:pt idx="3">
                  <c:v>JG</c:v>
                </c:pt>
                <c:pt idx="4">
                  <c:v>LJ</c:v>
                </c:pt>
                <c:pt idx="5">
                  <c:v>MW</c:v>
                </c:pt>
                <c:pt idx="6">
                  <c:v>NS</c:v>
                </c:pt>
              </c:strCache>
            </c:strRef>
          </c:cat>
          <c:val>
            <c:numRef>
              <c:f>'Designer Analysis'!$E$4:$E$10</c:f>
              <c:numCache>
                <c:formatCode>"$"#,##0.00</c:formatCode>
                <c:ptCount val="7"/>
                <c:pt idx="0">
                  <c:v>13195.249986792074</c:v>
                </c:pt>
                <c:pt idx="1">
                  <c:v>10273.191434764749</c:v>
                </c:pt>
                <c:pt idx="2">
                  <c:v>11737.946000000002</c:v>
                </c:pt>
                <c:pt idx="3">
                  <c:v>13955.699128760914</c:v>
                </c:pt>
                <c:pt idx="4">
                  <c:v>22923.2252173913</c:v>
                </c:pt>
                <c:pt idx="5">
                  <c:v>14378.443014241642</c:v>
                </c:pt>
                <c:pt idx="6">
                  <c:v>17962.266189952228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39261616"/>
        <c:axId val="539262008"/>
        <c:axId val="0"/>
      </c:bar3DChart>
      <c:catAx>
        <c:axId val="5392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2008"/>
        <c:crosses val="autoZero"/>
        <c:auto val="1"/>
        <c:lblAlgn val="ctr"/>
        <c:lblOffset val="100"/>
        <c:noMultiLvlLbl val="0"/>
      </c:catAx>
      <c:valAx>
        <c:axId val="539262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BS</c:v>
                </c:pt>
                <c:pt idx="1">
                  <c:v>CD</c:v>
                </c:pt>
                <c:pt idx="2">
                  <c:v>EN</c:v>
                </c:pt>
                <c:pt idx="3">
                  <c:v>JG</c:v>
                </c:pt>
                <c:pt idx="4">
                  <c:v>LJ</c:v>
                </c:pt>
                <c:pt idx="5">
                  <c:v>MW</c:v>
                </c:pt>
                <c:pt idx="6">
                  <c:v>NS</c:v>
                </c:pt>
              </c:strCache>
            </c:strRef>
          </c:cat>
          <c:val>
            <c:numRef>
              <c:f>'Designer Analysis'!$F$4:$F$10</c:f>
              <c:numCache>
                <c:formatCode>0.00%</c:formatCode>
                <c:ptCount val="7"/>
                <c:pt idx="0">
                  <c:v>0.50367490552527017</c:v>
                </c:pt>
                <c:pt idx="1">
                  <c:v>0.510659243741726</c:v>
                </c:pt>
                <c:pt idx="2">
                  <c:v>0.41350228083291674</c:v>
                </c:pt>
                <c:pt idx="3">
                  <c:v>0.48147188747325043</c:v>
                </c:pt>
                <c:pt idx="4">
                  <c:v>0.51068898505888605</c:v>
                </c:pt>
                <c:pt idx="5">
                  <c:v>0.54192037677020299</c:v>
                </c:pt>
                <c:pt idx="6">
                  <c:v>0.43643559852804187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39262400"/>
        <c:axId val="539263968"/>
        <c:axId val="0"/>
      </c:bar3DChart>
      <c:catAx>
        <c:axId val="5392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3968"/>
        <c:crosses val="autoZero"/>
        <c:auto val="1"/>
        <c:lblAlgn val="ctr"/>
        <c:lblOffset val="100"/>
        <c:noMultiLvlLbl val="0"/>
      </c:catAx>
      <c:valAx>
        <c:axId val="539263968"/>
        <c:scaling>
          <c:orientation val="minMax"/>
          <c:max val="0.55000000000000004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x̅ Comm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BS</c:v>
                </c:pt>
                <c:pt idx="1">
                  <c:v>CD</c:v>
                </c:pt>
                <c:pt idx="2">
                  <c:v>EN</c:v>
                </c:pt>
                <c:pt idx="3">
                  <c:v>JG</c:v>
                </c:pt>
                <c:pt idx="4">
                  <c:v>LJ</c:v>
                </c:pt>
                <c:pt idx="5">
                  <c:v>MW</c:v>
                </c:pt>
                <c:pt idx="6">
                  <c:v>NS</c:v>
                </c:pt>
              </c:strCache>
            </c:strRef>
          </c:cat>
          <c:val>
            <c:numRef>
              <c:f>'Designer Analysis'!$G$4:$G$10</c:f>
              <c:numCache>
                <c:formatCode>0.00%</c:formatCode>
                <c:ptCount val="7"/>
                <c:pt idx="0">
                  <c:v>0.10620216885398889</c:v>
                </c:pt>
                <c:pt idx="1">
                  <c:v>0.11157304900820947</c:v>
                </c:pt>
                <c:pt idx="2">
                  <c:v>9.0900676353770776E-2</c:v>
                </c:pt>
                <c:pt idx="3">
                  <c:v>9.1029853725988139E-2</c:v>
                </c:pt>
                <c:pt idx="4">
                  <c:v>0.10901095683462032</c:v>
                </c:pt>
                <c:pt idx="5">
                  <c:v>0.10941059041744922</c:v>
                </c:pt>
                <c:pt idx="6">
                  <c:v>8.6936354818450315E-2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39258088"/>
        <c:axId val="539263184"/>
        <c:axId val="0"/>
      </c:bar3DChart>
      <c:catAx>
        <c:axId val="53925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3184"/>
        <c:crosses val="autoZero"/>
        <c:auto val="1"/>
        <c:lblAlgn val="ctr"/>
        <c:lblOffset val="100"/>
        <c:noMultiLvlLbl val="0"/>
      </c:catAx>
      <c:valAx>
        <c:axId val="539263184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BS</c:v>
                </c:pt>
                <c:pt idx="1">
                  <c:v>CD</c:v>
                </c:pt>
                <c:pt idx="2">
                  <c:v>EN</c:v>
                </c:pt>
                <c:pt idx="3">
                  <c:v>JG</c:v>
                </c:pt>
                <c:pt idx="4">
                  <c:v>LJ</c:v>
                </c:pt>
                <c:pt idx="5">
                  <c:v>MW</c:v>
                </c:pt>
                <c:pt idx="6">
                  <c:v>NS</c:v>
                </c:pt>
              </c:strCache>
            </c:strRef>
          </c:cat>
          <c:val>
            <c:numRef>
              <c:f>'Designer Analysis'!$H$4:$H$10</c:f>
              <c:numCache>
                <c:formatCode>"$"#,##0.00</c:formatCode>
                <c:ptCount val="7"/>
                <c:pt idx="0">
                  <c:v>414.8573714074592</c:v>
                </c:pt>
                <c:pt idx="1">
                  <c:v>420.07950494018394</c:v>
                </c:pt>
                <c:pt idx="2">
                  <c:v>-309.38225</c:v>
                </c:pt>
                <c:pt idx="3">
                  <c:v>-161.11209075127931</c:v>
                </c:pt>
                <c:pt idx="4">
                  <c:v>695.20652173913015</c:v>
                </c:pt>
                <c:pt idx="5">
                  <c:v>612.36249700026531</c:v>
                </c:pt>
                <c:pt idx="6">
                  <c:v>1.9359964038395416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39264360"/>
        <c:axId val="811078544"/>
        <c:axId val="0"/>
      </c:bar3DChart>
      <c:catAx>
        <c:axId val="5392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8544"/>
        <c:crossesAt val="-500"/>
        <c:auto val="1"/>
        <c:lblAlgn val="ctr"/>
        <c:lblOffset val="100"/>
        <c:noMultiLvlLbl val="0"/>
      </c:catAx>
      <c:valAx>
        <c:axId val="811078544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BS</c:v>
                </c:pt>
                <c:pt idx="1">
                  <c:v>CD</c:v>
                </c:pt>
                <c:pt idx="2">
                  <c:v>EN</c:v>
                </c:pt>
                <c:pt idx="3">
                  <c:v>JG</c:v>
                </c:pt>
                <c:pt idx="4">
                  <c:v>LJ</c:v>
                </c:pt>
                <c:pt idx="5">
                  <c:v>MW</c:v>
                </c:pt>
                <c:pt idx="6">
                  <c:v>NS</c:v>
                </c:pt>
              </c:strCache>
            </c:strRef>
          </c:cat>
          <c:val>
            <c:numRef>
              <c:f>'Designer Analysis'!$I$4:$I$10</c:f>
              <c:numCache>
                <c:formatCode>"$"#,##0.00</c:formatCode>
                <c:ptCount val="7"/>
                <c:pt idx="0">
                  <c:v>3347.83</c:v>
                </c:pt>
                <c:pt idx="1">
                  <c:v>1972.37</c:v>
                </c:pt>
                <c:pt idx="2">
                  <c:v>3429.24</c:v>
                </c:pt>
                <c:pt idx="3">
                  <c:v>3245.88</c:v>
                </c:pt>
                <c:pt idx="4">
                  <c:v>2236.13</c:v>
                </c:pt>
                <c:pt idx="5">
                  <c:v>3550</c:v>
                </c:pt>
                <c:pt idx="6">
                  <c:v>1235.73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5799160"/>
        <c:axId val="445803864"/>
        <c:axId val="0"/>
      </c:bar3DChart>
      <c:catAx>
        <c:axId val="44579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03864"/>
        <c:crosses val="autoZero"/>
        <c:auto val="1"/>
        <c:lblAlgn val="ctr"/>
        <c:lblOffset val="100"/>
        <c:noMultiLvlLbl val="0"/>
      </c:catAx>
      <c:valAx>
        <c:axId val="445803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BS</c:v>
                </c:pt>
                <c:pt idx="1">
                  <c:v>CD</c:v>
                </c:pt>
                <c:pt idx="2">
                  <c:v>EN</c:v>
                </c:pt>
                <c:pt idx="3">
                  <c:v>JG</c:v>
                </c:pt>
                <c:pt idx="4">
                  <c:v>LJ</c:v>
                </c:pt>
                <c:pt idx="5">
                  <c:v>MW</c:v>
                </c:pt>
                <c:pt idx="6">
                  <c:v>NS</c:v>
                </c:pt>
              </c:strCache>
            </c:strRef>
          </c:cat>
          <c:val>
            <c:numRef>
              <c:f>'Designer Analysis'!$J$4:$J$10</c:f>
              <c:numCache>
                <c:formatCode>"$"#,##0.00</c:formatCode>
                <c:ptCount val="7"/>
                <c:pt idx="0">
                  <c:v>64.381346153846152</c:v>
                </c:pt>
                <c:pt idx="1">
                  <c:v>34.602982456140346</c:v>
                </c:pt>
                <c:pt idx="2">
                  <c:v>85.730999999999995</c:v>
                </c:pt>
                <c:pt idx="3">
                  <c:v>79.167804878048784</c:v>
                </c:pt>
                <c:pt idx="4">
                  <c:v>97.223043478260877</c:v>
                </c:pt>
                <c:pt idx="5">
                  <c:v>61.206896551724135</c:v>
                </c:pt>
                <c:pt idx="6">
                  <c:v>39.862258064516126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5799552"/>
        <c:axId val="445800336"/>
        <c:axId val="0"/>
      </c:bar3DChart>
      <c:catAx>
        <c:axId val="4457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00336"/>
        <c:crosses val="autoZero"/>
        <c:auto val="1"/>
        <c:lblAlgn val="ctr"/>
        <c:lblOffset val="100"/>
        <c:noMultiLvlLbl val="0"/>
      </c:catAx>
      <c:valAx>
        <c:axId val="445800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Analysis'!$B$4:$B$29</c:f>
              <c:strCache>
                <c:ptCount val="26"/>
                <c:pt idx="0">
                  <c:v>Abq</c:v>
                </c:pt>
                <c:pt idx="1">
                  <c:v>Artesia</c:v>
                </c:pt>
                <c:pt idx="2">
                  <c:v>Bernalillo</c:v>
                </c:pt>
                <c:pt idx="3">
                  <c:v>Bosque Farms</c:v>
                </c:pt>
                <c:pt idx="4">
                  <c:v>Capitan</c:v>
                </c:pt>
                <c:pt idx="5">
                  <c:v>Carlsbad</c:v>
                </c:pt>
                <c:pt idx="6">
                  <c:v>Cedar Crest</c:v>
                </c:pt>
                <c:pt idx="7">
                  <c:v>Clovis</c:v>
                </c:pt>
                <c:pt idx="8">
                  <c:v>Corrales</c:v>
                </c:pt>
                <c:pt idx="9">
                  <c:v>Edgewood</c:v>
                </c:pt>
                <c:pt idx="10">
                  <c:v>Espanola</c:v>
                </c:pt>
                <c:pt idx="11">
                  <c:v>Estancia</c:v>
                </c:pt>
                <c:pt idx="12">
                  <c:v>Los Alamos</c:v>
                </c:pt>
                <c:pt idx="13">
                  <c:v>Los Lunas</c:v>
                </c:pt>
                <c:pt idx="14">
                  <c:v>Malaga</c:v>
                </c:pt>
                <c:pt idx="15">
                  <c:v>Placitas</c:v>
                </c:pt>
                <c:pt idx="16">
                  <c:v>Rio Rancho</c:v>
                </c:pt>
                <c:pt idx="17">
                  <c:v>Sandia Park</c:v>
                </c:pt>
                <c:pt idx="18">
                  <c:v>Santa Fe</c:v>
                </c:pt>
                <c:pt idx="19">
                  <c:v>Soccoro</c:v>
                </c:pt>
                <c:pt idx="20">
                  <c:v>Stanley</c:v>
                </c:pt>
                <c:pt idx="21">
                  <c:v>Tajique</c:v>
                </c:pt>
                <c:pt idx="22">
                  <c:v>Tijeras</c:v>
                </c:pt>
                <c:pt idx="23">
                  <c:v>Toas</c:v>
                </c:pt>
                <c:pt idx="24">
                  <c:v>Tome</c:v>
                </c:pt>
                <c:pt idx="25">
                  <c:v>Velarde</c:v>
                </c:pt>
              </c:strCache>
            </c:strRef>
          </c:cat>
          <c:val>
            <c:numRef>
              <c:f>'Sales Location Analysis'!$C$4:$C$29</c:f>
              <c:numCache>
                <c:formatCode>"$"#,##0.00</c:formatCode>
                <c:ptCount val="26"/>
                <c:pt idx="0">
                  <c:v>2381420.9985388173</c:v>
                </c:pt>
                <c:pt idx="1">
                  <c:v>10832.673746336743</c:v>
                </c:pt>
                <c:pt idx="2">
                  <c:v>6812.1</c:v>
                </c:pt>
                <c:pt idx="3">
                  <c:v>83105.349999999991</c:v>
                </c:pt>
                <c:pt idx="4">
                  <c:v>9490.01</c:v>
                </c:pt>
                <c:pt idx="5">
                  <c:v>12284.55</c:v>
                </c:pt>
                <c:pt idx="6">
                  <c:v>43092.959999999999</c:v>
                </c:pt>
                <c:pt idx="7">
                  <c:v>18198.96</c:v>
                </c:pt>
                <c:pt idx="8">
                  <c:v>67520.205797101444</c:v>
                </c:pt>
                <c:pt idx="9">
                  <c:v>2902.37</c:v>
                </c:pt>
                <c:pt idx="10">
                  <c:v>16129.81</c:v>
                </c:pt>
                <c:pt idx="11">
                  <c:v>25215.93</c:v>
                </c:pt>
                <c:pt idx="12">
                  <c:v>32720.193663366339</c:v>
                </c:pt>
                <c:pt idx="13">
                  <c:v>68038.221823427579</c:v>
                </c:pt>
                <c:pt idx="14">
                  <c:v>35617.785487309629</c:v>
                </c:pt>
                <c:pt idx="15">
                  <c:v>129377.20131609871</c:v>
                </c:pt>
                <c:pt idx="16">
                  <c:v>590822.22008125356</c:v>
                </c:pt>
                <c:pt idx="17">
                  <c:v>54442.28</c:v>
                </c:pt>
                <c:pt idx="18">
                  <c:v>458643.3899999999</c:v>
                </c:pt>
                <c:pt idx="19">
                  <c:v>0</c:v>
                </c:pt>
                <c:pt idx="20">
                  <c:v>8290.9699999999993</c:v>
                </c:pt>
                <c:pt idx="21">
                  <c:v>12170.49</c:v>
                </c:pt>
                <c:pt idx="22">
                  <c:v>81499.948426265692</c:v>
                </c:pt>
                <c:pt idx="23">
                  <c:v>15699.94</c:v>
                </c:pt>
                <c:pt idx="24">
                  <c:v>8961.5400000000009</c:v>
                </c:pt>
                <c:pt idx="25">
                  <c:v>10008.200000000001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5801512"/>
        <c:axId val="445796808"/>
        <c:axId val="0"/>
      </c:bar3DChart>
      <c:catAx>
        <c:axId val="44580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6808"/>
        <c:crosses val="autoZero"/>
        <c:auto val="1"/>
        <c:lblAlgn val="ctr"/>
        <c:lblOffset val="100"/>
        <c:noMultiLvlLbl val="0"/>
      </c:catAx>
      <c:valAx>
        <c:axId val="445796808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0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Analysis'!$B$4:$B$29</c:f>
              <c:strCache>
                <c:ptCount val="26"/>
                <c:pt idx="0">
                  <c:v>Abq</c:v>
                </c:pt>
                <c:pt idx="1">
                  <c:v>Artesia</c:v>
                </c:pt>
                <c:pt idx="2">
                  <c:v>Bernalillo</c:v>
                </c:pt>
                <c:pt idx="3">
                  <c:v>Bosque Farms</c:v>
                </c:pt>
                <c:pt idx="4">
                  <c:v>Capitan</c:v>
                </c:pt>
                <c:pt idx="5">
                  <c:v>Carlsbad</c:v>
                </c:pt>
                <c:pt idx="6">
                  <c:v>Cedar Crest</c:v>
                </c:pt>
                <c:pt idx="7">
                  <c:v>Clovis</c:v>
                </c:pt>
                <c:pt idx="8">
                  <c:v>Corrales</c:v>
                </c:pt>
                <c:pt idx="9">
                  <c:v>Edgewood</c:v>
                </c:pt>
                <c:pt idx="10">
                  <c:v>Espanola</c:v>
                </c:pt>
                <c:pt idx="11">
                  <c:v>Estancia</c:v>
                </c:pt>
                <c:pt idx="12">
                  <c:v>Los Alamos</c:v>
                </c:pt>
                <c:pt idx="13">
                  <c:v>Los Lunas</c:v>
                </c:pt>
                <c:pt idx="14">
                  <c:v>Malaga</c:v>
                </c:pt>
                <c:pt idx="15">
                  <c:v>Placitas</c:v>
                </c:pt>
                <c:pt idx="16">
                  <c:v>Rio Rancho</c:v>
                </c:pt>
                <c:pt idx="17">
                  <c:v>Sandia Park</c:v>
                </c:pt>
                <c:pt idx="18">
                  <c:v>Santa Fe</c:v>
                </c:pt>
                <c:pt idx="19">
                  <c:v>Soccoro</c:v>
                </c:pt>
                <c:pt idx="20">
                  <c:v>Stanley</c:v>
                </c:pt>
                <c:pt idx="21">
                  <c:v>Tajique</c:v>
                </c:pt>
                <c:pt idx="22">
                  <c:v>Tijeras</c:v>
                </c:pt>
                <c:pt idx="23">
                  <c:v>Toas</c:v>
                </c:pt>
                <c:pt idx="24">
                  <c:v>Tome</c:v>
                </c:pt>
                <c:pt idx="25">
                  <c:v>Velarde</c:v>
                </c:pt>
              </c:strCache>
            </c:strRef>
          </c:cat>
          <c:val>
            <c:numRef>
              <c:f>'Sales Location Analysis'!$D$4:$D$29</c:f>
              <c:numCache>
                <c:formatCode>0</c:formatCode>
                <c:ptCount val="26"/>
                <c:pt idx="0">
                  <c:v>182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3</c:v>
                </c:pt>
                <c:pt idx="16">
                  <c:v>45</c:v>
                </c:pt>
                <c:pt idx="17">
                  <c:v>3</c:v>
                </c:pt>
                <c:pt idx="18">
                  <c:v>25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5800728"/>
        <c:axId val="445797200"/>
        <c:axId val="0"/>
      </c:bar3DChart>
      <c:catAx>
        <c:axId val="44580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7200"/>
        <c:crosses val="autoZero"/>
        <c:auto val="1"/>
        <c:lblAlgn val="ctr"/>
        <c:lblOffset val="100"/>
        <c:noMultiLvlLbl val="0"/>
      </c:catAx>
      <c:valAx>
        <c:axId val="445797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0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Analysis'!$B$4:$B$29</c:f>
              <c:strCache>
                <c:ptCount val="26"/>
                <c:pt idx="0">
                  <c:v>Abq</c:v>
                </c:pt>
                <c:pt idx="1">
                  <c:v>Artesia</c:v>
                </c:pt>
                <c:pt idx="2">
                  <c:v>Bernalillo</c:v>
                </c:pt>
                <c:pt idx="3">
                  <c:v>Bosque Farms</c:v>
                </c:pt>
                <c:pt idx="4">
                  <c:v>Capitan</c:v>
                </c:pt>
                <c:pt idx="5">
                  <c:v>Carlsbad</c:v>
                </c:pt>
                <c:pt idx="6">
                  <c:v>Cedar Crest</c:v>
                </c:pt>
                <c:pt idx="7">
                  <c:v>Clovis</c:v>
                </c:pt>
                <c:pt idx="8">
                  <c:v>Corrales</c:v>
                </c:pt>
                <c:pt idx="9">
                  <c:v>Edgewood</c:v>
                </c:pt>
                <c:pt idx="10">
                  <c:v>Espanola</c:v>
                </c:pt>
                <c:pt idx="11">
                  <c:v>Estancia</c:v>
                </c:pt>
                <c:pt idx="12">
                  <c:v>Los Alamos</c:v>
                </c:pt>
                <c:pt idx="13">
                  <c:v>Los Lunas</c:v>
                </c:pt>
                <c:pt idx="14">
                  <c:v>Malaga</c:v>
                </c:pt>
                <c:pt idx="15">
                  <c:v>Placitas</c:v>
                </c:pt>
                <c:pt idx="16">
                  <c:v>Rio Rancho</c:v>
                </c:pt>
                <c:pt idx="17">
                  <c:v>Sandia Park</c:v>
                </c:pt>
                <c:pt idx="18">
                  <c:v>Santa Fe</c:v>
                </c:pt>
                <c:pt idx="19">
                  <c:v>Soccoro</c:v>
                </c:pt>
                <c:pt idx="20">
                  <c:v>Stanley</c:v>
                </c:pt>
                <c:pt idx="21">
                  <c:v>Tajique</c:v>
                </c:pt>
                <c:pt idx="22">
                  <c:v>Tijeras</c:v>
                </c:pt>
                <c:pt idx="23">
                  <c:v>Toas</c:v>
                </c:pt>
                <c:pt idx="24">
                  <c:v>Tome</c:v>
                </c:pt>
                <c:pt idx="25">
                  <c:v>Velarde</c:v>
                </c:pt>
              </c:strCache>
            </c:strRef>
          </c:cat>
          <c:val>
            <c:numRef>
              <c:f>'Sales Location Analysis'!$E$4:$E$29</c:f>
              <c:numCache>
                <c:formatCode>"$"#,##0.00</c:formatCode>
                <c:ptCount val="26"/>
                <c:pt idx="0">
                  <c:v>13084.730761202292</c:v>
                </c:pt>
                <c:pt idx="1">
                  <c:v>10832.673746336743</c:v>
                </c:pt>
                <c:pt idx="2">
                  <c:v>6812.1</c:v>
                </c:pt>
                <c:pt idx="3">
                  <c:v>20776.337499999998</c:v>
                </c:pt>
                <c:pt idx="4">
                  <c:v>9490.01</c:v>
                </c:pt>
                <c:pt idx="5">
                  <c:v>12284.55</c:v>
                </c:pt>
                <c:pt idx="6">
                  <c:v>43092.959999999999</c:v>
                </c:pt>
                <c:pt idx="7">
                  <c:v>18198.96</c:v>
                </c:pt>
                <c:pt idx="8">
                  <c:v>16880.051449275361</c:v>
                </c:pt>
                <c:pt idx="9">
                  <c:v>2902.37</c:v>
                </c:pt>
                <c:pt idx="10">
                  <c:v>8064.9049999999997</c:v>
                </c:pt>
                <c:pt idx="11">
                  <c:v>25215.93</c:v>
                </c:pt>
                <c:pt idx="12">
                  <c:v>8180.0484158415848</c:v>
                </c:pt>
                <c:pt idx="13">
                  <c:v>9719.7459747753692</c:v>
                </c:pt>
                <c:pt idx="14">
                  <c:v>35617.785487309629</c:v>
                </c:pt>
                <c:pt idx="15">
                  <c:v>43125.733772032901</c:v>
                </c:pt>
                <c:pt idx="16">
                  <c:v>13129.382668472301</c:v>
                </c:pt>
                <c:pt idx="17">
                  <c:v>18147.426666666666</c:v>
                </c:pt>
                <c:pt idx="18">
                  <c:v>18345.735599999996</c:v>
                </c:pt>
                <c:pt idx="19">
                  <c:v>0</c:v>
                </c:pt>
                <c:pt idx="20">
                  <c:v>8290.9699999999993</c:v>
                </c:pt>
                <c:pt idx="21">
                  <c:v>12170.49</c:v>
                </c:pt>
                <c:pt idx="22">
                  <c:v>13583.324737710949</c:v>
                </c:pt>
                <c:pt idx="23">
                  <c:v>15699.94</c:v>
                </c:pt>
                <c:pt idx="24">
                  <c:v>8961.5400000000009</c:v>
                </c:pt>
                <c:pt idx="25">
                  <c:v>10008.200000000001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5803472"/>
        <c:axId val="445797592"/>
        <c:axId val="0"/>
      </c:bar3DChart>
      <c:catAx>
        <c:axId val="4458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7592"/>
        <c:crosses val="autoZero"/>
        <c:auto val="1"/>
        <c:lblAlgn val="ctr"/>
        <c:lblOffset val="100"/>
        <c:noMultiLvlLbl val="0"/>
      </c:catAx>
      <c:valAx>
        <c:axId val="445797592"/>
        <c:scaling>
          <c:orientation val="minMax"/>
          <c:max val="3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Analysis'!$B$4:$B$29</c:f>
              <c:strCache>
                <c:ptCount val="26"/>
                <c:pt idx="0">
                  <c:v>Abq</c:v>
                </c:pt>
                <c:pt idx="1">
                  <c:v>Artesia</c:v>
                </c:pt>
                <c:pt idx="2">
                  <c:v>Bernalillo</c:v>
                </c:pt>
                <c:pt idx="3">
                  <c:v>Bosque Farms</c:v>
                </c:pt>
                <c:pt idx="4">
                  <c:v>Capitan</c:v>
                </c:pt>
                <c:pt idx="5">
                  <c:v>Carlsbad</c:v>
                </c:pt>
                <c:pt idx="6">
                  <c:v>Cedar Crest</c:v>
                </c:pt>
                <c:pt idx="7">
                  <c:v>Clovis</c:v>
                </c:pt>
                <c:pt idx="8">
                  <c:v>Corrales</c:v>
                </c:pt>
                <c:pt idx="9">
                  <c:v>Edgewood</c:v>
                </c:pt>
                <c:pt idx="10">
                  <c:v>Espanola</c:v>
                </c:pt>
                <c:pt idx="11">
                  <c:v>Estancia</c:v>
                </c:pt>
                <c:pt idx="12">
                  <c:v>Los Alamos</c:v>
                </c:pt>
                <c:pt idx="13">
                  <c:v>Los Lunas</c:v>
                </c:pt>
                <c:pt idx="14">
                  <c:v>Malaga</c:v>
                </c:pt>
                <c:pt idx="15">
                  <c:v>Placitas</c:v>
                </c:pt>
                <c:pt idx="16">
                  <c:v>Rio Rancho</c:v>
                </c:pt>
                <c:pt idx="17">
                  <c:v>Sandia Park</c:v>
                </c:pt>
                <c:pt idx="18">
                  <c:v>Santa Fe</c:v>
                </c:pt>
                <c:pt idx="19">
                  <c:v>Soccoro</c:v>
                </c:pt>
                <c:pt idx="20">
                  <c:v>Stanley</c:v>
                </c:pt>
                <c:pt idx="21">
                  <c:v>Tajique</c:v>
                </c:pt>
                <c:pt idx="22">
                  <c:v>Tijeras</c:v>
                </c:pt>
                <c:pt idx="23">
                  <c:v>Toas</c:v>
                </c:pt>
                <c:pt idx="24">
                  <c:v>Tome</c:v>
                </c:pt>
                <c:pt idx="25">
                  <c:v>Velarde</c:v>
                </c:pt>
              </c:strCache>
            </c:strRef>
          </c:cat>
          <c:val>
            <c:numRef>
              <c:f>'Sales Location Analysis'!$F$4:$F$29</c:f>
              <c:numCache>
                <c:formatCode>0.00%</c:formatCode>
                <c:ptCount val="26"/>
                <c:pt idx="0">
                  <c:v>0.48471413478954606</c:v>
                </c:pt>
                <c:pt idx="1">
                  <c:v>0.57721425870978782</c:v>
                </c:pt>
                <c:pt idx="2">
                  <c:v>0.55938990913227937</c:v>
                </c:pt>
                <c:pt idx="3">
                  <c:v>0.50751555874920584</c:v>
                </c:pt>
                <c:pt idx="4">
                  <c:v>0.52562958310897467</c:v>
                </c:pt>
                <c:pt idx="5">
                  <c:v>0.31946876360957455</c:v>
                </c:pt>
                <c:pt idx="6">
                  <c:v>0.56457667331276384</c:v>
                </c:pt>
                <c:pt idx="7">
                  <c:v>0.56079138588139099</c:v>
                </c:pt>
                <c:pt idx="8">
                  <c:v>0.4933653262294978</c:v>
                </c:pt>
                <c:pt idx="9">
                  <c:v>0.45997581287017164</c:v>
                </c:pt>
                <c:pt idx="10">
                  <c:v>0.51808264939256654</c:v>
                </c:pt>
                <c:pt idx="11">
                  <c:v>0.28682186221170503</c:v>
                </c:pt>
                <c:pt idx="12">
                  <c:v>0.47485594492491695</c:v>
                </c:pt>
                <c:pt idx="13">
                  <c:v>0.52079378139882271</c:v>
                </c:pt>
                <c:pt idx="14">
                  <c:v>0.56453862058532067</c:v>
                </c:pt>
                <c:pt idx="15">
                  <c:v>0.50671090696874199</c:v>
                </c:pt>
                <c:pt idx="16">
                  <c:v>0.52131387565235132</c:v>
                </c:pt>
                <c:pt idx="17">
                  <c:v>0.56570993111142032</c:v>
                </c:pt>
                <c:pt idx="18">
                  <c:v>0.46009081538011254</c:v>
                </c:pt>
                <c:pt idx="19">
                  <c:v>0</c:v>
                </c:pt>
                <c:pt idx="20">
                  <c:v>0.49779700083343681</c:v>
                </c:pt>
                <c:pt idx="21">
                  <c:v>0.39621494286589942</c:v>
                </c:pt>
                <c:pt idx="22">
                  <c:v>0.52669559620028739</c:v>
                </c:pt>
                <c:pt idx="23">
                  <c:v>0.49854521737025748</c:v>
                </c:pt>
                <c:pt idx="24">
                  <c:v>0.42866851009982665</c:v>
                </c:pt>
                <c:pt idx="25">
                  <c:v>0.6280549949041786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5798768"/>
        <c:axId val="445802688"/>
        <c:axId val="0"/>
      </c:bar3DChart>
      <c:catAx>
        <c:axId val="44579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02688"/>
        <c:crosses val="autoZero"/>
        <c:auto val="1"/>
        <c:lblAlgn val="ctr"/>
        <c:lblOffset val="100"/>
        <c:noMultiLvlLbl val="0"/>
      </c:catAx>
      <c:valAx>
        <c:axId val="445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 by Product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Analysis'!$B$22:$B$29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Analysis'!$C$22:$C$29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Analysis'!$B$22:$B$29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Analysis'!$D$22:$D$29</c:f>
              <c:numCache>
                <c:formatCode>0.0%</c:formatCode>
                <c:ptCount val="8"/>
                <c:pt idx="0">
                  <c:v>0.45264932933165319</c:v>
                </c:pt>
                <c:pt idx="1">
                  <c:v>0.4546760072282871</c:v>
                </c:pt>
                <c:pt idx="2">
                  <c:v>0.51980709248805324</c:v>
                </c:pt>
                <c:pt idx="3">
                  <c:v>0.54182824715422073</c:v>
                </c:pt>
                <c:pt idx="4">
                  <c:v>0.49401326143626739</c:v>
                </c:pt>
                <c:pt idx="5">
                  <c:v>0.48760035240720567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52382280"/>
        <c:axId val="552382672"/>
        <c:axId val="0"/>
      </c:bar3DChart>
      <c:catAx>
        <c:axId val="55238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2672"/>
        <c:crosses val="autoZero"/>
        <c:auto val="1"/>
        <c:lblAlgn val="ctr"/>
        <c:lblOffset val="100"/>
        <c:noMultiLvlLbl val="0"/>
      </c:catAx>
      <c:valAx>
        <c:axId val="552382672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Analysis'!$B$4:$B$29</c:f>
              <c:strCache>
                <c:ptCount val="26"/>
                <c:pt idx="0">
                  <c:v>Abq</c:v>
                </c:pt>
                <c:pt idx="1">
                  <c:v>Artesia</c:v>
                </c:pt>
                <c:pt idx="2">
                  <c:v>Bernalillo</c:v>
                </c:pt>
                <c:pt idx="3">
                  <c:v>Bosque Farms</c:v>
                </c:pt>
                <c:pt idx="4">
                  <c:v>Capitan</c:v>
                </c:pt>
                <c:pt idx="5">
                  <c:v>Carlsbad</c:v>
                </c:pt>
                <c:pt idx="6">
                  <c:v>Cedar Crest</c:v>
                </c:pt>
                <c:pt idx="7">
                  <c:v>Clovis</c:v>
                </c:pt>
                <c:pt idx="8">
                  <c:v>Corrales</c:v>
                </c:pt>
                <c:pt idx="9">
                  <c:v>Edgewood</c:v>
                </c:pt>
                <c:pt idx="10">
                  <c:v>Espanola</c:v>
                </c:pt>
                <c:pt idx="11">
                  <c:v>Estancia</c:v>
                </c:pt>
                <c:pt idx="12">
                  <c:v>Los Alamos</c:v>
                </c:pt>
                <c:pt idx="13">
                  <c:v>Los Lunas</c:v>
                </c:pt>
                <c:pt idx="14">
                  <c:v>Malaga</c:v>
                </c:pt>
                <c:pt idx="15">
                  <c:v>Placitas</c:v>
                </c:pt>
                <c:pt idx="16">
                  <c:v>Rio Rancho</c:v>
                </c:pt>
                <c:pt idx="17">
                  <c:v>Sandia Park</c:v>
                </c:pt>
                <c:pt idx="18">
                  <c:v>Santa Fe</c:v>
                </c:pt>
                <c:pt idx="19">
                  <c:v>Soccoro</c:v>
                </c:pt>
                <c:pt idx="20">
                  <c:v>Stanley</c:v>
                </c:pt>
                <c:pt idx="21">
                  <c:v>Tajique</c:v>
                </c:pt>
                <c:pt idx="22">
                  <c:v>Tijeras</c:v>
                </c:pt>
                <c:pt idx="23">
                  <c:v>Toas</c:v>
                </c:pt>
                <c:pt idx="24">
                  <c:v>Tome</c:v>
                </c:pt>
                <c:pt idx="25">
                  <c:v>Velarde</c:v>
                </c:pt>
              </c:strCache>
            </c:strRef>
          </c:cat>
          <c:val>
            <c:numRef>
              <c:f>'Sales Location Analysis'!$G$4:$G$29</c:f>
              <c:numCache>
                <c:formatCode>"$"#,##0.00</c:formatCode>
                <c:ptCount val="26"/>
                <c:pt idx="0">
                  <c:v>219.39538757592362</c:v>
                </c:pt>
                <c:pt idx="1">
                  <c:v>1607.3737463367434</c:v>
                </c:pt>
                <c:pt idx="2">
                  <c:v>288.10000000000002</c:v>
                </c:pt>
                <c:pt idx="3">
                  <c:v>611.14</c:v>
                </c:pt>
                <c:pt idx="4">
                  <c:v>-291.08999999999997</c:v>
                </c:pt>
                <c:pt idx="5">
                  <c:v>-1576.85</c:v>
                </c:pt>
                <c:pt idx="6">
                  <c:v>4820.46</c:v>
                </c:pt>
                <c:pt idx="7">
                  <c:v>1112.6600000000001</c:v>
                </c:pt>
                <c:pt idx="8">
                  <c:v>274.7514492753611</c:v>
                </c:pt>
                <c:pt idx="9">
                  <c:v>171.67</c:v>
                </c:pt>
                <c:pt idx="10">
                  <c:v>25.755000000000003</c:v>
                </c:pt>
                <c:pt idx="11">
                  <c:v>-4355.57</c:v>
                </c:pt>
                <c:pt idx="12">
                  <c:v>147.65341584158392</c:v>
                </c:pt>
                <c:pt idx="13">
                  <c:v>27.610260489654497</c:v>
                </c:pt>
                <c:pt idx="14">
                  <c:v>6356.8894873096324</c:v>
                </c:pt>
                <c:pt idx="15">
                  <c:v>169.50110536623711</c:v>
                </c:pt>
                <c:pt idx="16">
                  <c:v>478.93489069452528</c:v>
                </c:pt>
                <c:pt idx="17">
                  <c:v>324.64333333333326</c:v>
                </c:pt>
                <c:pt idx="18">
                  <c:v>26.621200000000062</c:v>
                </c:pt>
                <c:pt idx="19">
                  <c:v>0</c:v>
                </c:pt>
                <c:pt idx="20">
                  <c:v>643.47</c:v>
                </c:pt>
                <c:pt idx="21">
                  <c:v>-576.16</c:v>
                </c:pt>
                <c:pt idx="22">
                  <c:v>193.95807104428218</c:v>
                </c:pt>
                <c:pt idx="23">
                  <c:v>811.51</c:v>
                </c:pt>
                <c:pt idx="24">
                  <c:v>-419.16</c:v>
                </c:pt>
                <c:pt idx="25">
                  <c:v>703.8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5802296"/>
        <c:axId val="339000048"/>
        <c:axId val="0"/>
      </c:bar3DChart>
      <c:catAx>
        <c:axId val="44580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0048"/>
        <c:crossesAt val="-500"/>
        <c:auto val="1"/>
        <c:lblAlgn val="ctr"/>
        <c:lblOffset val="100"/>
        <c:noMultiLvlLbl val="0"/>
      </c:catAx>
      <c:valAx>
        <c:axId val="33900004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month'!$C$2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'Sales by month'!$C$4:$C$15</c:f>
              <c:numCache>
                <c:formatCode>"$"#,##0.00</c:formatCode>
                <c:ptCount val="12"/>
                <c:pt idx="0">
                  <c:v>216300.60378542537</c:v>
                </c:pt>
                <c:pt idx="1">
                  <c:v>449181.66907508922</c:v>
                </c:pt>
                <c:pt idx="2">
                  <c:v>242355.35138326802</c:v>
                </c:pt>
                <c:pt idx="3">
                  <c:v>388800.65826187719</c:v>
                </c:pt>
                <c:pt idx="4">
                  <c:v>328118.83</c:v>
                </c:pt>
                <c:pt idx="5">
                  <c:v>374018.48999999993</c:v>
                </c:pt>
                <c:pt idx="6">
                  <c:v>563015.05000000005</c:v>
                </c:pt>
                <c:pt idx="7">
                  <c:v>319606.31</c:v>
                </c:pt>
                <c:pt idx="8">
                  <c:v>377714.76999999996</c:v>
                </c:pt>
                <c:pt idx="9">
                  <c:v>406931.75000000006</c:v>
                </c:pt>
                <c:pt idx="10">
                  <c:v>247893.81999999995</c:v>
                </c:pt>
                <c:pt idx="11">
                  <c:v>123701.31999999999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338999264"/>
        <c:axId val="339003968"/>
        <c:axId val="0"/>
      </c:bar3DChart>
      <c:dateAx>
        <c:axId val="338999264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3968"/>
        <c:crosses val="autoZero"/>
        <c:auto val="1"/>
        <c:lblOffset val="100"/>
        <c:baseTimeUnit val="months"/>
      </c:dateAx>
      <c:valAx>
        <c:axId val="33900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'Sales by month'!$D$4:$D$15</c:f>
              <c:numCache>
                <c:formatCode>0</c:formatCode>
                <c:ptCount val="12"/>
                <c:pt idx="0">
                  <c:v>18</c:v>
                </c:pt>
                <c:pt idx="1">
                  <c:v>30</c:v>
                </c:pt>
                <c:pt idx="2">
                  <c:v>22</c:v>
                </c:pt>
                <c:pt idx="3">
                  <c:v>29</c:v>
                </c:pt>
                <c:pt idx="4">
                  <c:v>22</c:v>
                </c:pt>
                <c:pt idx="5">
                  <c:v>31</c:v>
                </c:pt>
                <c:pt idx="6">
                  <c:v>32</c:v>
                </c:pt>
                <c:pt idx="7">
                  <c:v>23</c:v>
                </c:pt>
                <c:pt idx="8">
                  <c:v>30</c:v>
                </c:pt>
                <c:pt idx="9">
                  <c:v>31</c:v>
                </c:pt>
                <c:pt idx="10">
                  <c:v>19</c:v>
                </c:pt>
                <c:pt idx="1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339002008"/>
        <c:axId val="338998480"/>
        <c:axId val="0"/>
      </c:bar3DChart>
      <c:dateAx>
        <c:axId val="339002008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8480"/>
        <c:crosses val="autoZero"/>
        <c:auto val="1"/>
        <c:lblOffset val="100"/>
        <c:baseTimeUnit val="months"/>
      </c:dateAx>
      <c:valAx>
        <c:axId val="338998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'Sales by month'!$E$4:$E$15</c:f>
              <c:numCache>
                <c:formatCode>"$"#,##0.00</c:formatCode>
                <c:ptCount val="12"/>
                <c:pt idx="0">
                  <c:v>12016.700210301409</c:v>
                </c:pt>
                <c:pt idx="1">
                  <c:v>14972.722302502974</c:v>
                </c:pt>
                <c:pt idx="2">
                  <c:v>11016.152335603092</c:v>
                </c:pt>
                <c:pt idx="3">
                  <c:v>13406.919250409559</c:v>
                </c:pt>
                <c:pt idx="4">
                  <c:v>14914.492272727273</c:v>
                </c:pt>
                <c:pt idx="5">
                  <c:v>12065.112580645158</c:v>
                </c:pt>
                <c:pt idx="6">
                  <c:v>17594.220312500001</c:v>
                </c:pt>
                <c:pt idx="7">
                  <c:v>13895.926521739131</c:v>
                </c:pt>
                <c:pt idx="8">
                  <c:v>12590.492333333332</c:v>
                </c:pt>
                <c:pt idx="9">
                  <c:v>13126.830645161292</c:v>
                </c:pt>
                <c:pt idx="10">
                  <c:v>13047.043157894734</c:v>
                </c:pt>
                <c:pt idx="11">
                  <c:v>10308.443333333333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338998088"/>
        <c:axId val="338999656"/>
        <c:axId val="0"/>
      </c:bar3DChart>
      <c:dateAx>
        <c:axId val="338998088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9656"/>
        <c:crosses val="autoZero"/>
        <c:auto val="1"/>
        <c:lblOffset val="100"/>
        <c:baseTimeUnit val="months"/>
      </c:dateAx>
      <c:valAx>
        <c:axId val="3389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9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'Sales by month'!$F$4:$F$15</c:f>
              <c:numCache>
                <c:formatCode>0.00%</c:formatCode>
                <c:ptCount val="12"/>
                <c:pt idx="0">
                  <c:v>0.49154296048593366</c:v>
                </c:pt>
                <c:pt idx="1">
                  <c:v>0.49067347074369583</c:v>
                </c:pt>
                <c:pt idx="2">
                  <c:v>0.5273724950975951</c:v>
                </c:pt>
                <c:pt idx="3">
                  <c:v>0.50395575779098833</c:v>
                </c:pt>
                <c:pt idx="4">
                  <c:v>0.47940050012620539</c:v>
                </c:pt>
                <c:pt idx="5">
                  <c:v>0.4743719025847839</c:v>
                </c:pt>
                <c:pt idx="6">
                  <c:v>0.49404895365953694</c:v>
                </c:pt>
                <c:pt idx="7">
                  <c:v>0.46729200297018503</c:v>
                </c:pt>
                <c:pt idx="8">
                  <c:v>0.45511201799560452</c:v>
                </c:pt>
                <c:pt idx="9">
                  <c:v>0.50925491896502373</c:v>
                </c:pt>
                <c:pt idx="10">
                  <c:v>0.52346631964293</c:v>
                </c:pt>
                <c:pt idx="11">
                  <c:v>0.52318177130474897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339000832"/>
        <c:axId val="339002792"/>
        <c:axId val="0"/>
      </c:bar3DChart>
      <c:dateAx>
        <c:axId val="339000832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2792"/>
        <c:crosses val="autoZero"/>
        <c:auto val="1"/>
        <c:lblOffset val="100"/>
        <c:baseTimeUnit val="months"/>
      </c:dateAx>
      <c:valAx>
        <c:axId val="33900279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Revenue Analysis'!$D$2</c:f>
              <c:strCache>
                <c:ptCount val="1"/>
                <c:pt idx="0">
                  <c:v>Net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Analysis'!$C$4:$C$17</c:f>
              <c:strCache>
                <c:ptCount val="14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D</c:v>
                </c:pt>
                <c:pt idx="12">
                  <c:v>W (A)</c:v>
                </c:pt>
                <c:pt idx="13">
                  <c:v>W</c:v>
                </c:pt>
              </c:strCache>
            </c:strRef>
          </c:cat>
          <c:val>
            <c:numRef>
              <c:f>'Product Revenue Analysis'!$D$4:$D$17</c:f>
              <c:numCache>
                <c:formatCode>"$"#,##0.00</c:formatCode>
                <c:ptCount val="14"/>
                <c:pt idx="0">
                  <c:v>712099.82611614396</c:v>
                </c:pt>
                <c:pt idx="1">
                  <c:v>687114.86240112863</c:v>
                </c:pt>
                <c:pt idx="2">
                  <c:v>45172.29</c:v>
                </c:pt>
                <c:pt idx="3">
                  <c:v>440582.45333990536</c:v>
                </c:pt>
                <c:pt idx="4">
                  <c:v>165091.58331488841</c:v>
                </c:pt>
                <c:pt idx="5">
                  <c:v>98546.4</c:v>
                </c:pt>
                <c:pt idx="6">
                  <c:v>110551.50999999998</c:v>
                </c:pt>
                <c:pt idx="7">
                  <c:v>68922.364484356891</c:v>
                </c:pt>
                <c:pt idx="8">
                  <c:v>252804.77416059325</c:v>
                </c:pt>
                <c:pt idx="9">
                  <c:v>152802.51</c:v>
                </c:pt>
                <c:pt idx="10">
                  <c:v>61538.13296639629</c:v>
                </c:pt>
                <c:pt idx="11">
                  <c:v>48904.718293870203</c:v>
                </c:pt>
                <c:pt idx="12">
                  <c:v>398055.51313121978</c:v>
                </c:pt>
                <c:pt idx="13">
                  <c:v>405524.47168661433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52384240"/>
        <c:axId val="552386592"/>
        <c:axId val="0"/>
      </c:bar3DChart>
      <c:catAx>
        <c:axId val="5523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6592"/>
        <c:crosses val="autoZero"/>
        <c:auto val="1"/>
        <c:lblAlgn val="ctr"/>
        <c:lblOffset val="100"/>
        <c:noMultiLvlLbl val="0"/>
      </c:catAx>
      <c:valAx>
        <c:axId val="552386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'Product Revenue Analysis'!$E$2</c:f>
              <c:strCache>
                <c:ptCount val="1"/>
                <c:pt idx="0">
                  <c:v>Average Sale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Analysis'!$C$4:$C$17</c:f>
              <c:strCache>
                <c:ptCount val="14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D</c:v>
                </c:pt>
                <c:pt idx="12">
                  <c:v>W (A)</c:v>
                </c:pt>
                <c:pt idx="13">
                  <c:v>W</c:v>
                </c:pt>
              </c:strCache>
            </c:strRef>
          </c:cat>
          <c:val>
            <c:numRef>
              <c:f>'Product Revenue Analysis'!$E$4:$E$17</c:f>
              <c:numCache>
                <c:formatCode>"$"#,##0.00</c:formatCode>
                <c:ptCount val="14"/>
                <c:pt idx="0">
                  <c:v>9013.9218495714431</c:v>
                </c:pt>
                <c:pt idx="1">
                  <c:v>25448.698607449209</c:v>
                </c:pt>
                <c:pt idx="2">
                  <c:v>11293.0725</c:v>
                </c:pt>
                <c:pt idx="3">
                  <c:v>11907.633874051497</c:v>
                </c:pt>
                <c:pt idx="4">
                  <c:v>7177.8949267342787</c:v>
                </c:pt>
                <c:pt idx="5">
                  <c:v>16424.399999999998</c:v>
                </c:pt>
                <c:pt idx="6">
                  <c:v>13818.938749999998</c:v>
                </c:pt>
                <c:pt idx="7">
                  <c:v>34461.182242178445</c:v>
                </c:pt>
                <c:pt idx="8">
                  <c:v>36114.967737227606</c:v>
                </c:pt>
                <c:pt idx="9">
                  <c:v>50934.170000000006</c:v>
                </c:pt>
                <c:pt idx="10">
                  <c:v>10256.355494399382</c:v>
                </c:pt>
                <c:pt idx="11">
                  <c:v>6113.0897867337753</c:v>
                </c:pt>
                <c:pt idx="12">
                  <c:v>8845.6780695826619</c:v>
                </c:pt>
                <c:pt idx="13">
                  <c:v>16220.978867464573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52384632"/>
        <c:axId val="44421057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'Product Revenue Analysis'!$D$2</c15:sqref>
                        </c15:formulaRef>
                      </c:ext>
                    </c:extLst>
                    <c:strCache>
                      <c:ptCount val="1"/>
                      <c:pt idx="0">
                        <c:v>Net Sale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'Product Revenue Analysis'!$C$4:$C$17</c15:sqref>
                        </c15:formulaRef>
                      </c:ext>
                    </c:extLst>
                    <c:strCache>
                      <c:ptCount val="14"/>
                      <c:pt idx="0">
                        <c:v>B</c:v>
                      </c:pt>
                      <c:pt idx="1">
                        <c:v>K</c:v>
                      </c:pt>
                      <c:pt idx="2">
                        <c:v>FP</c:v>
                      </c:pt>
                      <c:pt idx="3">
                        <c:v>IR</c:v>
                      </c:pt>
                      <c:pt idx="4">
                        <c:v>LC</c:v>
                      </c:pt>
                      <c:pt idx="5">
                        <c:v>OP</c:v>
                      </c:pt>
                      <c:pt idx="6">
                        <c:v>VP</c:v>
                      </c:pt>
                      <c:pt idx="7">
                        <c:v>SR-206</c:v>
                      </c:pt>
                      <c:pt idx="8">
                        <c:v>SR-306</c:v>
                      </c:pt>
                      <c:pt idx="9">
                        <c:v>SR-406</c:v>
                      </c:pt>
                      <c:pt idx="10">
                        <c:v>SR-VV</c:v>
                      </c:pt>
                      <c:pt idx="11">
                        <c:v>D</c:v>
                      </c:pt>
                      <c:pt idx="12">
                        <c:v>W (A)</c:v>
                      </c:pt>
                      <c:pt idx="13">
                        <c:v>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 Revenue Analysis'!$D$4:$D$17</c15:sqref>
                        </c15:formulaRef>
                      </c:ext>
                    </c:extLst>
                    <c:numCache>
                      <c:formatCode>"$"#,##0.00</c:formatCode>
                      <c:ptCount val="14"/>
                      <c:pt idx="0">
                        <c:v>712099.82611614396</c:v>
                      </c:pt>
                      <c:pt idx="1">
                        <c:v>687114.86240112863</c:v>
                      </c:pt>
                      <c:pt idx="2">
                        <c:v>45172.29</c:v>
                      </c:pt>
                      <c:pt idx="3">
                        <c:v>440582.45333990536</c:v>
                      </c:pt>
                      <c:pt idx="4">
                        <c:v>165091.58331488841</c:v>
                      </c:pt>
                      <c:pt idx="5">
                        <c:v>98546.4</c:v>
                      </c:pt>
                      <c:pt idx="6">
                        <c:v>110551.50999999998</c:v>
                      </c:pt>
                      <c:pt idx="7">
                        <c:v>68922.364484356891</c:v>
                      </c:pt>
                      <c:pt idx="8">
                        <c:v>252804.77416059325</c:v>
                      </c:pt>
                      <c:pt idx="9">
                        <c:v>152802.51</c:v>
                      </c:pt>
                      <c:pt idx="10">
                        <c:v>61538.13296639629</c:v>
                      </c:pt>
                      <c:pt idx="11">
                        <c:v>48904.718293870203</c:v>
                      </c:pt>
                      <c:pt idx="12">
                        <c:v>398055.51313121978</c:v>
                      </c:pt>
                      <c:pt idx="13">
                        <c:v>405524.47168661433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7B2E-42DF-B7AE-C73110D5DC8B}"/>
                  </c:ext>
                </c:extLst>
              </c15:ser>
            </c15:filteredBarSeries>
          </c:ext>
        </c:extLst>
      </c:bar3DChart>
      <c:catAx>
        <c:axId val="5523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0576"/>
        <c:crosses val="autoZero"/>
        <c:auto val="1"/>
        <c:lblAlgn val="ctr"/>
        <c:lblOffset val="100"/>
        <c:noMultiLvlLbl val="0"/>
      </c:catAx>
      <c:valAx>
        <c:axId val="444210576"/>
        <c:scaling>
          <c:orientation val="minMax"/>
          <c:max val="5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Analysis'!$B$22:$B$28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Analysis'!$C$22:$C$28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Analysis'!$B$22:$B$28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Analysis'!$D$22:$D$28</c:f>
              <c:numCache>
                <c:formatCode>"$"#,##0.00</c:formatCode>
                <c:ptCount val="7"/>
                <c:pt idx="0">
                  <c:v>712099.82611614396</c:v>
                </c:pt>
                <c:pt idx="1">
                  <c:v>687114.86240112863</c:v>
                </c:pt>
                <c:pt idx="2">
                  <c:v>859944.23665479373</c:v>
                </c:pt>
                <c:pt idx="3">
                  <c:v>536067.78161134641</c:v>
                </c:pt>
                <c:pt idx="4">
                  <c:v>852484.70311170432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4212928"/>
        <c:axId val="444207832"/>
        <c:axId val="0"/>
      </c:bar3DChart>
      <c:catAx>
        <c:axId val="4442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07832"/>
        <c:crosses val="autoZero"/>
        <c:auto val="1"/>
        <c:lblAlgn val="ctr"/>
        <c:lblOffset val="100"/>
        <c:noMultiLvlLbl val="0"/>
      </c:catAx>
      <c:valAx>
        <c:axId val="44420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Analysis'!$C$4:$C$20</c:f>
              <c:strCache>
                <c:ptCount val="17"/>
                <c:pt idx="0">
                  <c:v>AB Plumb</c:v>
                </c:pt>
                <c:pt idx="1">
                  <c:v>Brad H</c:v>
                </c:pt>
                <c:pt idx="2">
                  <c:v>BRW LLC</c:v>
                </c:pt>
                <c:pt idx="3">
                  <c:v>Chris M.</c:v>
                </c:pt>
                <c:pt idx="4">
                  <c:v>George</c:v>
                </c:pt>
                <c:pt idx="5">
                  <c:v>Isis</c:v>
                </c:pt>
                <c:pt idx="6">
                  <c:v>Mike R.</c:v>
                </c:pt>
                <c:pt idx="7">
                  <c:v>Prime Time</c:v>
                </c:pt>
                <c:pt idx="8">
                  <c:v>Rob S.</c:v>
                </c:pt>
                <c:pt idx="9">
                  <c:v>Inn. Design</c:v>
                </c:pt>
                <c:pt idx="10">
                  <c:v>Marco</c:v>
                </c:pt>
                <c:pt idx="11">
                  <c:v>Nic Rios</c:v>
                </c:pt>
                <c:pt idx="12">
                  <c:v>Robert T.</c:v>
                </c:pt>
                <c:pt idx="13">
                  <c:v>Russ T.</c:v>
                </c:pt>
                <c:pt idx="14">
                  <c:v>Jose</c:v>
                </c:pt>
                <c:pt idx="15">
                  <c:v>Don</c:v>
                </c:pt>
                <c:pt idx="16">
                  <c:v>Thomas S.</c:v>
                </c:pt>
              </c:strCache>
            </c:strRef>
          </c:cat>
          <c:val>
            <c:numRef>
              <c:f>'Installer Analysis'!$D$4:$D$20</c:f>
              <c:numCache>
                <c:formatCode>0.00%</c:formatCode>
                <c:ptCount val="17"/>
                <c:pt idx="0">
                  <c:v>0.57715434529985765</c:v>
                </c:pt>
                <c:pt idx="1">
                  <c:v>0.44010970445779163</c:v>
                </c:pt>
                <c:pt idx="2">
                  <c:v>0.49180218725249708</c:v>
                </c:pt>
                <c:pt idx="3">
                  <c:v>0</c:v>
                </c:pt>
                <c:pt idx="4">
                  <c:v>0.50248262527209087</c:v>
                </c:pt>
                <c:pt idx="5">
                  <c:v>0.48122656359422089</c:v>
                </c:pt>
                <c:pt idx="6">
                  <c:v>0</c:v>
                </c:pt>
                <c:pt idx="7">
                  <c:v>0.40567884521428094</c:v>
                </c:pt>
                <c:pt idx="8">
                  <c:v>0</c:v>
                </c:pt>
                <c:pt idx="9">
                  <c:v>0.52938009657965912</c:v>
                </c:pt>
                <c:pt idx="10">
                  <c:v>0.50871105404193762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0.61049675465078124</c:v>
                </c:pt>
                <c:pt idx="15">
                  <c:v>0.54072022698189914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811078936"/>
        <c:axId val="811079720"/>
        <c:axId val="0"/>
      </c:bar3DChart>
      <c:catAx>
        <c:axId val="8110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9720"/>
        <c:crosses val="autoZero"/>
        <c:auto val="1"/>
        <c:lblAlgn val="ctr"/>
        <c:lblOffset val="100"/>
        <c:noMultiLvlLbl val="0"/>
      </c:catAx>
      <c:valAx>
        <c:axId val="811079720"/>
        <c:scaling>
          <c:orientation val="minMax"/>
          <c:max val="0.65000000000000013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Jobs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Analysis'!$C$4:$C$20</c:f>
              <c:strCache>
                <c:ptCount val="17"/>
                <c:pt idx="0">
                  <c:v>AB Plumb</c:v>
                </c:pt>
                <c:pt idx="1">
                  <c:v>Brad H</c:v>
                </c:pt>
                <c:pt idx="2">
                  <c:v>BRW LLC</c:v>
                </c:pt>
                <c:pt idx="3">
                  <c:v>Chris M.</c:v>
                </c:pt>
                <c:pt idx="4">
                  <c:v>George</c:v>
                </c:pt>
                <c:pt idx="5">
                  <c:v>Isis</c:v>
                </c:pt>
                <c:pt idx="6">
                  <c:v>Mike R.</c:v>
                </c:pt>
                <c:pt idx="7">
                  <c:v>Prime Time</c:v>
                </c:pt>
                <c:pt idx="8">
                  <c:v>Rob S.</c:v>
                </c:pt>
                <c:pt idx="9">
                  <c:v>Inn. Design</c:v>
                </c:pt>
                <c:pt idx="10">
                  <c:v>Marco</c:v>
                </c:pt>
                <c:pt idx="11">
                  <c:v>Nic Rios</c:v>
                </c:pt>
                <c:pt idx="12">
                  <c:v>Robert T.</c:v>
                </c:pt>
                <c:pt idx="13">
                  <c:v>Russ T.</c:v>
                </c:pt>
                <c:pt idx="14">
                  <c:v>Jose</c:v>
                </c:pt>
                <c:pt idx="15">
                  <c:v>Don</c:v>
                </c:pt>
                <c:pt idx="16">
                  <c:v>Thomas S.</c:v>
                </c:pt>
              </c:strCache>
            </c:strRef>
          </c:cat>
          <c:val>
            <c:numRef>
              <c:f>'Installer Analysis'!$E$4:$E$20</c:f>
              <c:numCache>
                <c:formatCode>0</c:formatCode>
                <c:ptCount val="17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22</c:v>
                </c:pt>
                <c:pt idx="10">
                  <c:v>43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35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39257696"/>
        <c:axId val="539259264"/>
        <c:axId val="0"/>
      </c:bar3DChart>
      <c:catAx>
        <c:axId val="5392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9264"/>
        <c:crosses val="autoZero"/>
        <c:auto val="1"/>
        <c:lblAlgn val="ctr"/>
        <c:lblOffset val="100"/>
        <c:noMultiLvlLbl val="0"/>
      </c:catAx>
      <c:valAx>
        <c:axId val="539259264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'Designer Analysis'!$C$2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BS</c:v>
                </c:pt>
                <c:pt idx="1">
                  <c:v>CD</c:v>
                </c:pt>
                <c:pt idx="2">
                  <c:v>EN</c:v>
                </c:pt>
                <c:pt idx="3">
                  <c:v>JG</c:v>
                </c:pt>
                <c:pt idx="4">
                  <c:v>LJ</c:v>
                </c:pt>
                <c:pt idx="5">
                  <c:v>MW</c:v>
                </c:pt>
                <c:pt idx="6">
                  <c:v>NS</c:v>
                </c:pt>
              </c:strCache>
            </c:strRef>
          </c:cat>
          <c:val>
            <c:numRef>
              <c:f>'Designer Analysis'!$C$4:$C$10</c:f>
              <c:numCache>
                <c:formatCode>"$"#,##0.00</c:formatCode>
                <c:ptCount val="7"/>
                <c:pt idx="0">
                  <c:v>686152.9993131879</c:v>
                </c:pt>
                <c:pt idx="1">
                  <c:v>585571.91178159066</c:v>
                </c:pt>
                <c:pt idx="2">
                  <c:v>469517.84000000008</c:v>
                </c:pt>
                <c:pt idx="3">
                  <c:v>572183.66427919746</c:v>
                </c:pt>
                <c:pt idx="4">
                  <c:v>527234.17999999993</c:v>
                </c:pt>
                <c:pt idx="5">
                  <c:v>833949.69482601527</c:v>
                </c:pt>
                <c:pt idx="6">
                  <c:v>556830.25188851904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39259656"/>
        <c:axId val="539260832"/>
        <c:axId val="0"/>
      </c:bar3DChart>
      <c:catAx>
        <c:axId val="53925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0832"/>
        <c:crosses val="autoZero"/>
        <c:auto val="1"/>
        <c:lblAlgn val="ctr"/>
        <c:lblOffset val="100"/>
        <c:noMultiLvlLbl val="0"/>
      </c:catAx>
      <c:valAx>
        <c:axId val="539260832"/>
        <c:scaling>
          <c:orientation val="minMax"/>
          <c:max val="8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Analysis'!$B$4:$B$10</c:f>
              <c:strCache>
                <c:ptCount val="7"/>
                <c:pt idx="0">
                  <c:v>BS</c:v>
                </c:pt>
                <c:pt idx="1">
                  <c:v>CD</c:v>
                </c:pt>
                <c:pt idx="2">
                  <c:v>EN</c:v>
                </c:pt>
                <c:pt idx="3">
                  <c:v>JG</c:v>
                </c:pt>
                <c:pt idx="4">
                  <c:v>LJ</c:v>
                </c:pt>
                <c:pt idx="5">
                  <c:v>MW</c:v>
                </c:pt>
                <c:pt idx="6">
                  <c:v>NS</c:v>
                </c:pt>
              </c:strCache>
            </c:strRef>
          </c:cat>
          <c:val>
            <c:numRef>
              <c:f>'Designer Analysis'!$D$4:$D$10</c:f>
              <c:numCache>
                <c:formatCode>0</c:formatCode>
                <c:ptCount val="7"/>
                <c:pt idx="0">
                  <c:v>52</c:v>
                </c:pt>
                <c:pt idx="1">
                  <c:v>57</c:v>
                </c:pt>
                <c:pt idx="2">
                  <c:v>40</c:v>
                </c:pt>
                <c:pt idx="3">
                  <c:v>41</c:v>
                </c:pt>
                <c:pt idx="4">
                  <c:v>23</c:v>
                </c:pt>
                <c:pt idx="5">
                  <c:v>58</c:v>
                </c:pt>
                <c:pt idx="6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39256912"/>
        <c:axId val="539263576"/>
        <c:axId val="0"/>
      </c:bar3DChart>
      <c:catAx>
        <c:axId val="5392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3576"/>
        <c:crosses val="autoZero"/>
        <c:auto val="1"/>
        <c:lblAlgn val="ctr"/>
        <c:lblOffset val="100"/>
        <c:noMultiLvlLbl val="0"/>
      </c:catAx>
      <c:valAx>
        <c:axId val="5392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</xdr:rowOff>
    </xdr:from>
    <xdr:to>
      <xdr:col>28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36</xdr:row>
      <xdr:rowOff>14287</xdr:rowOff>
    </xdr:from>
    <xdr:to>
      <xdr:col>28</xdr:col>
      <xdr:colOff>0</xdr:colOff>
      <xdr:row>72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0</xdr:rowOff>
    </xdr:from>
    <xdr:to>
      <xdr:col>28</xdr:col>
      <xdr:colOff>0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35</xdr:row>
      <xdr:rowOff>180975</xdr:rowOff>
    </xdr:from>
    <xdr:to>
      <xdr:col>28</xdr:col>
      <xdr:colOff>0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73</xdr:row>
      <xdr:rowOff>14286</xdr:rowOff>
    </xdr:from>
    <xdr:to>
      <xdr:col>28</xdr:col>
      <xdr:colOff>0</xdr:colOff>
      <xdr:row>108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9525</xdr:rowOff>
    </xdr:from>
    <xdr:to>
      <xdr:col>28</xdr:col>
      <xdr:colOff>590550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29</xdr:col>
      <xdr:colOff>0</xdr:colOff>
      <xdr:row>67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14</xdr:row>
      <xdr:rowOff>9525</xdr:rowOff>
    </xdr:from>
    <xdr:to>
      <xdr:col>23</xdr:col>
      <xdr:colOff>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45</xdr:row>
      <xdr:rowOff>195261</xdr:rowOff>
    </xdr:from>
    <xdr:to>
      <xdr:col>23</xdr:col>
      <xdr:colOff>9525</xdr:colOff>
      <xdr:row>76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78</xdr:row>
      <xdr:rowOff>14287</xdr:rowOff>
    </xdr:from>
    <xdr:to>
      <xdr:col>22</xdr:col>
      <xdr:colOff>609599</xdr:colOff>
      <xdr:row>109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110</xdr:row>
      <xdr:rowOff>14287</xdr:rowOff>
    </xdr:from>
    <xdr:to>
      <xdr:col>22</xdr:col>
      <xdr:colOff>600074</xdr:colOff>
      <xdr:row>140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142</xdr:row>
      <xdr:rowOff>4762</xdr:rowOff>
    </xdr:from>
    <xdr:to>
      <xdr:col>23</xdr:col>
      <xdr:colOff>9525</xdr:colOff>
      <xdr:row>172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174</xdr:row>
      <xdr:rowOff>14286</xdr:rowOff>
    </xdr:from>
    <xdr:to>
      <xdr:col>22</xdr:col>
      <xdr:colOff>600075</xdr:colOff>
      <xdr:row>204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206</xdr:row>
      <xdr:rowOff>14287</xdr:rowOff>
    </xdr:from>
    <xdr:to>
      <xdr:col>23</xdr:col>
      <xdr:colOff>0</xdr:colOff>
      <xdr:row>237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9524</xdr:colOff>
      <xdr:row>238</xdr:row>
      <xdr:rowOff>14286</xdr:rowOff>
    </xdr:from>
    <xdr:to>
      <xdr:col>22</xdr:col>
      <xdr:colOff>609599</xdr:colOff>
      <xdr:row>268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32</xdr:row>
      <xdr:rowOff>9525</xdr:rowOff>
    </xdr:from>
    <xdr:to>
      <xdr:col>23</xdr:col>
      <xdr:colOff>0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63</xdr:row>
      <xdr:rowOff>195261</xdr:rowOff>
    </xdr:from>
    <xdr:to>
      <xdr:col>23</xdr:col>
      <xdr:colOff>9525</xdr:colOff>
      <xdr:row>94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96</xdr:row>
      <xdr:rowOff>14287</xdr:rowOff>
    </xdr:from>
    <xdr:to>
      <xdr:col>22</xdr:col>
      <xdr:colOff>609599</xdr:colOff>
      <xdr:row>127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128</xdr:row>
      <xdr:rowOff>14287</xdr:rowOff>
    </xdr:from>
    <xdr:to>
      <xdr:col>22</xdr:col>
      <xdr:colOff>600074</xdr:colOff>
      <xdr:row>158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160</xdr:row>
      <xdr:rowOff>4761</xdr:rowOff>
    </xdr:from>
    <xdr:to>
      <xdr:col>22</xdr:col>
      <xdr:colOff>600075</xdr:colOff>
      <xdr:row>190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18</xdr:row>
      <xdr:rowOff>9525</xdr:rowOff>
    </xdr:from>
    <xdr:to>
      <xdr:col>23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195261</xdr:rowOff>
    </xdr:from>
    <xdr:to>
      <xdr:col>23</xdr:col>
      <xdr:colOff>9525</xdr:colOff>
      <xdr:row>80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82</xdr:row>
      <xdr:rowOff>14287</xdr:rowOff>
    </xdr:from>
    <xdr:to>
      <xdr:col>22</xdr:col>
      <xdr:colOff>609599</xdr:colOff>
      <xdr:row>113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114</xdr:row>
      <xdr:rowOff>14287</xdr:rowOff>
    </xdr:from>
    <xdr:to>
      <xdr:col>22</xdr:col>
      <xdr:colOff>600074</xdr:colOff>
      <xdr:row>144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V600"/>
  <sheetViews>
    <sheetView showGridLines="0" tabSelected="1" zoomScale="90" zoomScaleNormal="90" workbookViewId="0">
      <pane ySplit="4" topLeftCell="A5" activePane="bottomLeft" state="frozen"/>
      <selection activeCell="C1" sqref="C1"/>
      <selection pane="bottomLeft" activeCell="H318" sqref="H318"/>
    </sheetView>
  </sheetViews>
  <sheetFormatPr defaultRowHeight="15" x14ac:dyDescent="0.25"/>
  <cols>
    <col min="1" max="1" width="2" customWidth="1"/>
    <col min="2" max="2" width="5.85546875" customWidth="1"/>
    <col min="3" max="3" width="12" style="1" customWidth="1"/>
    <col min="4" max="4" width="11.28515625" style="1" customWidth="1"/>
    <col min="5" max="5" width="11.42578125" style="1" bestFit="1" customWidth="1"/>
    <col min="6" max="6" width="17.28515625" style="1" customWidth="1"/>
    <col min="7" max="7" width="17.85546875" style="15" customWidth="1"/>
    <col min="8" max="8" width="12.5703125" style="1" customWidth="1"/>
    <col min="9" max="9" width="15.7109375" style="20" bestFit="1" customWidth="1"/>
    <col min="10" max="10" width="16.85546875" style="20" bestFit="1" customWidth="1"/>
    <col min="11" max="11" width="10.42578125" style="14" customWidth="1"/>
    <col min="12" max="12" width="15" style="20" customWidth="1"/>
    <col min="13" max="13" width="10.42578125" style="14" customWidth="1"/>
    <col min="14" max="14" width="16" style="17" customWidth="1"/>
    <col min="15" max="16" width="15.5703125" style="17" customWidth="1"/>
    <col min="17" max="17" width="116.85546875" style="7" customWidth="1"/>
    <col min="18" max="18" width="12" bestFit="1" customWidth="1"/>
    <col min="21" max="21" width="11.85546875" bestFit="1" customWidth="1"/>
  </cols>
  <sheetData>
    <row r="1" spans="2:21" ht="32.25" customHeight="1" x14ac:dyDescent="0.35">
      <c r="F1" s="136" t="s">
        <v>439</v>
      </c>
      <c r="G1" s="136"/>
      <c r="H1" s="136"/>
      <c r="I1" s="136"/>
      <c r="J1" s="136"/>
      <c r="K1" s="136"/>
      <c r="L1" s="136"/>
      <c r="M1" s="136"/>
    </row>
    <row r="2" spans="2:21" s="2" customFormat="1" ht="9" customHeight="1" thickBot="1" x14ac:dyDescent="0.3">
      <c r="C2" s="3"/>
      <c r="D2" s="3"/>
      <c r="E2" s="3"/>
      <c r="F2" s="3"/>
      <c r="G2" s="21"/>
      <c r="H2" s="3"/>
      <c r="I2" s="18"/>
      <c r="J2" s="18"/>
      <c r="K2" s="16"/>
      <c r="L2" s="18"/>
      <c r="M2" s="16"/>
      <c r="N2" s="19"/>
      <c r="O2" s="19"/>
      <c r="P2" s="19"/>
      <c r="Q2" s="8"/>
    </row>
    <row r="3" spans="2:21" s="2" customFormat="1" ht="22.5" customHeight="1" thickBot="1" x14ac:dyDescent="0.3">
      <c r="C3" s="3"/>
      <c r="D3" s="3"/>
      <c r="E3" s="3"/>
      <c r="F3" s="4"/>
      <c r="G3" s="137" t="s">
        <v>81</v>
      </c>
      <c r="H3" s="138"/>
      <c r="I3" s="31">
        <f>SUM(I5:INDEX(I5:I1048576,MATCH(TRUE,INDEX(ISBLANK(I5:I1048576),0,0),0)-1,0))</f>
        <v>4266314.2925056601</v>
      </c>
      <c r="J3" s="28">
        <f>SUM(J5:INDEX(J5:J1048576,MATCH(TRUE,INDEX(ISBLANK(J5:J1048576),0,0),0)-1,0))</f>
        <v>2186057.9400000018</v>
      </c>
      <c r="K3" s="29">
        <f>(I3-J3)/I3</f>
        <v>0.48760035240720567</v>
      </c>
      <c r="L3" s="28">
        <f>SUM(L5:INDEX(L5:L1048576,MATCH(TRUE,INDEX(ISBLANK(L5:L1048576),0,0),0)-1,0))</f>
        <v>423087.954926526</v>
      </c>
      <c r="M3" s="29">
        <f>L3/I3</f>
        <v>9.9169429610409948E-2</v>
      </c>
      <c r="N3" s="28">
        <f>SUM(N5:INDEX(N5:N1048576,MATCH(TRUE,INDEX(ISBLANK(N5:N1048576),0,0),0)-1,0))</f>
        <v>77941.020505659675</v>
      </c>
      <c r="O3" s="28">
        <f>SUM(O5:INDEX(O5:O1048576,MATCH(TRUE,INDEX(ISBLANK(O5:O1048576),0,0),0)-1,0))</f>
        <v>19240.95</v>
      </c>
      <c r="P3" s="30">
        <f>SUM(P5:INDEX(P5:P1048576,MATCH(TRUE,INDEX(ISBLANK(P5:P1048576),0,0),0)-1,0))</f>
        <v>0</v>
      </c>
      <c r="Q3" s="8"/>
    </row>
    <row r="4" spans="2:21" s="24" customFormat="1" ht="18" customHeight="1" thickBot="1" x14ac:dyDescent="0.3">
      <c r="B4" s="24" t="s">
        <v>25</v>
      </c>
      <c r="C4" s="24" t="s">
        <v>9</v>
      </c>
      <c r="D4" s="24" t="s">
        <v>22</v>
      </c>
      <c r="E4" s="24" t="s">
        <v>8</v>
      </c>
      <c r="F4" s="24" t="s">
        <v>0</v>
      </c>
      <c r="G4" s="24" t="s">
        <v>7</v>
      </c>
      <c r="H4" s="24" t="s">
        <v>2</v>
      </c>
      <c r="I4" s="25" t="s">
        <v>3</v>
      </c>
      <c r="J4" s="25" t="s">
        <v>1</v>
      </c>
      <c r="K4" s="26" t="s">
        <v>4</v>
      </c>
      <c r="L4" s="25" t="s">
        <v>5</v>
      </c>
      <c r="M4" s="26" t="s">
        <v>6</v>
      </c>
      <c r="N4" s="27" t="s">
        <v>10</v>
      </c>
      <c r="O4" s="27" t="s">
        <v>11</v>
      </c>
      <c r="P4" s="27" t="s">
        <v>35</v>
      </c>
      <c r="Q4" s="27" t="s">
        <v>58</v>
      </c>
    </row>
    <row r="5" spans="2:21" s="2" customFormat="1" ht="15.75" hidden="1" x14ac:dyDescent="0.25">
      <c r="B5" s="22">
        <v>1</v>
      </c>
      <c r="C5" s="89" t="s">
        <v>28</v>
      </c>
      <c r="D5" s="89" t="s">
        <v>90</v>
      </c>
      <c r="E5" s="89" t="s">
        <v>449</v>
      </c>
      <c r="F5" s="10">
        <v>43477</v>
      </c>
      <c r="G5" s="89" t="s">
        <v>120</v>
      </c>
      <c r="H5" s="22" t="s">
        <v>13</v>
      </c>
      <c r="I5" s="90">
        <v>2395.2523261877168</v>
      </c>
      <c r="J5" s="90">
        <v>1176.8599999999999</v>
      </c>
      <c r="K5" s="91">
        <f t="shared" ref="K5:K74" si="0">(I5-J5)/I5</f>
        <v>0.50866971837030206</v>
      </c>
      <c r="L5" s="90">
        <v>239.74616309385848</v>
      </c>
      <c r="M5" s="91">
        <f t="shared" ref="M5:M68" si="1">L5/I5</f>
        <v>0.1000922368272734</v>
      </c>
      <c r="N5" s="11">
        <v>123.05232618771697</v>
      </c>
      <c r="O5" s="92">
        <v>0</v>
      </c>
      <c r="P5" s="11"/>
      <c r="Q5" s="11"/>
      <c r="R5" s="13"/>
      <c r="S5" s="13"/>
      <c r="T5" s="13"/>
      <c r="U5" s="13"/>
    </row>
    <row r="6" spans="2:21" s="2" customFormat="1" ht="15.75" hidden="1" x14ac:dyDescent="0.25">
      <c r="B6" s="22">
        <v>2</v>
      </c>
      <c r="C6" s="89" t="s">
        <v>28</v>
      </c>
      <c r="D6" s="89" t="s">
        <v>26</v>
      </c>
      <c r="E6" s="89" t="s">
        <v>447</v>
      </c>
      <c r="F6" s="10">
        <v>43501</v>
      </c>
      <c r="G6" s="89" t="s">
        <v>122</v>
      </c>
      <c r="H6" s="22" t="s">
        <v>59</v>
      </c>
      <c r="I6" s="90">
        <v>6426.8829663962915</v>
      </c>
      <c r="J6" s="90">
        <v>1700.91</v>
      </c>
      <c r="K6" s="91">
        <f t="shared" si="0"/>
        <v>0.73534448831674604</v>
      </c>
      <c r="L6" s="90">
        <v>796.34148319814574</v>
      </c>
      <c r="M6" s="91">
        <f t="shared" si="1"/>
        <v>0.12390788619645172</v>
      </c>
      <c r="N6" s="11">
        <v>427.88296639629152</v>
      </c>
      <c r="O6" s="92">
        <v>0</v>
      </c>
      <c r="P6" s="11"/>
      <c r="Q6" s="12"/>
      <c r="R6" s="13"/>
      <c r="S6" s="13"/>
      <c r="T6" s="13"/>
      <c r="U6" s="13"/>
    </row>
    <row r="7" spans="2:21" s="2" customFormat="1" ht="15.75" hidden="1" x14ac:dyDescent="0.25">
      <c r="B7" s="22">
        <v>3</v>
      </c>
      <c r="C7" s="89" t="s">
        <v>123</v>
      </c>
      <c r="D7" s="89" t="s">
        <v>31</v>
      </c>
      <c r="E7" s="89" t="s">
        <v>449</v>
      </c>
      <c r="F7" s="10">
        <v>43481</v>
      </c>
      <c r="G7" s="89" t="s">
        <v>124</v>
      </c>
      <c r="H7" s="22" t="s">
        <v>13</v>
      </c>
      <c r="I7" s="90">
        <v>10832.673746336743</v>
      </c>
      <c r="J7" s="90">
        <v>4579.8999999999996</v>
      </c>
      <c r="K7" s="91">
        <f t="shared" si="0"/>
        <v>0.57721425870978782</v>
      </c>
      <c r="L7" s="90">
        <v>1564.2368731683714</v>
      </c>
      <c r="M7" s="91">
        <f t="shared" si="1"/>
        <v>0.14439988776522927</v>
      </c>
      <c r="N7" s="11">
        <v>1607.3737463367434</v>
      </c>
      <c r="O7" s="92">
        <v>0</v>
      </c>
      <c r="P7" s="11"/>
      <c r="Q7" s="12"/>
      <c r="R7" s="13"/>
      <c r="S7" s="13"/>
      <c r="T7" s="13"/>
      <c r="U7" s="13"/>
    </row>
    <row r="8" spans="2:21" s="2" customFormat="1" ht="15.75" hidden="1" x14ac:dyDescent="0.25">
      <c r="B8" s="22">
        <v>4</v>
      </c>
      <c r="C8" s="89" t="s">
        <v>28</v>
      </c>
      <c r="D8" s="89" t="s">
        <v>26</v>
      </c>
      <c r="E8" s="89" t="s">
        <v>92</v>
      </c>
      <c r="F8" s="10">
        <v>43476</v>
      </c>
      <c r="G8" s="89" t="s">
        <v>125</v>
      </c>
      <c r="H8" s="22" t="s">
        <v>14</v>
      </c>
      <c r="I8" s="90">
        <v>8713.7891077636141</v>
      </c>
      <c r="J8" s="90">
        <v>4466.97</v>
      </c>
      <c r="K8" s="91">
        <f t="shared" si="0"/>
        <v>0.48736767154255312</v>
      </c>
      <c r="L8" s="90">
        <v>867.74455388180706</v>
      </c>
      <c r="M8" s="91">
        <f t="shared" si="1"/>
        <v>9.9582918882978669E-2</v>
      </c>
      <c r="N8" s="11">
        <v>208.78910776361408</v>
      </c>
      <c r="O8" s="92">
        <v>0</v>
      </c>
      <c r="P8" s="11" t="s">
        <v>126</v>
      </c>
      <c r="Q8" s="12"/>
      <c r="R8" s="13"/>
      <c r="S8" s="13"/>
      <c r="T8" s="13"/>
      <c r="U8" s="13"/>
    </row>
    <row r="9" spans="2:21" s="2" customFormat="1" ht="15.75" hidden="1" x14ac:dyDescent="0.25">
      <c r="B9" s="22">
        <v>5</v>
      </c>
      <c r="C9" s="89" t="s">
        <v>41</v>
      </c>
      <c r="D9" s="89" t="s">
        <v>90</v>
      </c>
      <c r="E9" s="89" t="s">
        <v>15</v>
      </c>
      <c r="F9" s="10">
        <v>43496</v>
      </c>
      <c r="G9" s="89" t="s">
        <v>127</v>
      </c>
      <c r="H9" s="22" t="s">
        <v>13</v>
      </c>
      <c r="I9" s="90">
        <v>6933.2233023795707</v>
      </c>
      <c r="J9" s="90">
        <v>3382.14</v>
      </c>
      <c r="K9" s="91">
        <f t="shared" si="0"/>
        <v>0.51218360458126222</v>
      </c>
      <c r="L9" s="90">
        <v>738.99165118978533</v>
      </c>
      <c r="M9" s="91">
        <f t="shared" si="1"/>
        <v>0.10658702582623496</v>
      </c>
      <c r="N9" s="11">
        <v>175.42330237957049</v>
      </c>
      <c r="O9" s="92">
        <v>0</v>
      </c>
      <c r="P9" s="89"/>
      <c r="Q9" s="12"/>
      <c r="R9" s="13"/>
      <c r="S9" s="13"/>
      <c r="T9" s="13"/>
      <c r="U9" s="13"/>
    </row>
    <row r="10" spans="2:21" s="2" customFormat="1" ht="15.75" hidden="1" x14ac:dyDescent="0.25">
      <c r="B10" s="22">
        <v>6</v>
      </c>
      <c r="C10" s="89" t="s">
        <v>28</v>
      </c>
      <c r="D10" s="89" t="s">
        <v>33</v>
      </c>
      <c r="E10" s="89" t="s">
        <v>446</v>
      </c>
      <c r="F10" s="10">
        <v>43468</v>
      </c>
      <c r="G10" s="89" t="s">
        <v>129</v>
      </c>
      <c r="H10" s="22" t="s">
        <v>16</v>
      </c>
      <c r="I10" s="90">
        <v>8342.989571263035</v>
      </c>
      <c r="J10" s="90">
        <v>4096.1400000000003</v>
      </c>
      <c r="K10" s="91">
        <f t="shared" si="0"/>
        <v>0.50903210833333323</v>
      </c>
      <c r="L10" s="90">
        <v>911.03478563151725</v>
      </c>
      <c r="M10" s="91">
        <f t="shared" si="1"/>
        <v>0.10919764166666659</v>
      </c>
      <c r="N10" s="11">
        <v>235.58957126303449</v>
      </c>
      <c r="O10" s="92">
        <v>0</v>
      </c>
      <c r="P10" s="89"/>
      <c r="Q10" s="12"/>
      <c r="R10" s="13"/>
      <c r="S10" s="13"/>
      <c r="T10" s="13"/>
      <c r="U10" s="13"/>
    </row>
    <row r="11" spans="2:21" s="2" customFormat="1" ht="15.75" hidden="1" x14ac:dyDescent="0.25">
      <c r="B11" s="22">
        <v>7</v>
      </c>
      <c r="C11" s="89" t="s">
        <v>41</v>
      </c>
      <c r="D11" s="89" t="s">
        <v>33</v>
      </c>
      <c r="E11" s="89" t="s">
        <v>444</v>
      </c>
      <c r="F11" s="10">
        <v>43486</v>
      </c>
      <c r="G11" s="89" t="s">
        <v>130</v>
      </c>
      <c r="H11" s="22" t="s">
        <v>16</v>
      </c>
      <c r="I11" s="90">
        <v>7428.9030760301794</v>
      </c>
      <c r="J11" s="90">
        <f>4147.75</f>
        <v>4147.75</v>
      </c>
      <c r="K11" s="91">
        <f t="shared" si="0"/>
        <v>0.44167396484374993</v>
      </c>
      <c r="L11" s="90">
        <v>663.71153801509035</v>
      </c>
      <c r="M11" s="91">
        <f t="shared" si="1"/>
        <v>8.9341795312500055E-2</v>
      </c>
      <c r="N11" s="11">
        <v>-154.19692396981918</v>
      </c>
      <c r="O11" s="92">
        <v>0</v>
      </c>
      <c r="P11" s="89" t="s">
        <v>131</v>
      </c>
      <c r="Q11" s="12"/>
      <c r="R11" s="13"/>
      <c r="S11" s="13"/>
      <c r="T11" s="13"/>
      <c r="U11" s="13"/>
    </row>
    <row r="12" spans="2:21" s="2" customFormat="1" ht="15.75" hidden="1" x14ac:dyDescent="0.25">
      <c r="B12" s="22">
        <v>8</v>
      </c>
      <c r="C12" s="89" t="s">
        <v>38</v>
      </c>
      <c r="D12" s="89" t="s">
        <v>33</v>
      </c>
      <c r="E12" s="89" t="s">
        <v>446</v>
      </c>
      <c r="F12" s="10">
        <v>43467</v>
      </c>
      <c r="G12" s="89" t="s">
        <v>132</v>
      </c>
      <c r="H12" s="22" t="s">
        <v>443</v>
      </c>
      <c r="I12" s="90">
        <v>18968.5</v>
      </c>
      <c r="J12" s="90">
        <v>7572.04</v>
      </c>
      <c r="K12" s="91">
        <f t="shared" si="0"/>
        <v>0.60080976355536808</v>
      </c>
      <c r="L12" s="90">
        <v>3126.8150000000014</v>
      </c>
      <c r="M12" s="91">
        <f t="shared" si="1"/>
        <v>0.16484250204286061</v>
      </c>
      <c r="N12" s="11">
        <v>3373.5500000000029</v>
      </c>
      <c r="O12" s="92">
        <v>0</v>
      </c>
      <c r="P12" s="89"/>
      <c r="Q12" s="12"/>
      <c r="R12" s="13"/>
      <c r="S12" s="13"/>
      <c r="T12" s="13"/>
      <c r="U12" s="13"/>
    </row>
    <row r="13" spans="2:21" s="2" customFormat="1" ht="15.75" hidden="1" x14ac:dyDescent="0.25">
      <c r="B13" s="22">
        <v>9</v>
      </c>
      <c r="C13" s="89" t="s">
        <v>41</v>
      </c>
      <c r="D13" s="89" t="s">
        <v>26</v>
      </c>
      <c r="E13" s="89" t="s">
        <v>449</v>
      </c>
      <c r="F13" s="10">
        <v>43518</v>
      </c>
      <c r="G13" s="89" t="s">
        <v>133</v>
      </c>
      <c r="H13" s="22" t="s">
        <v>104</v>
      </c>
      <c r="I13" s="90">
        <v>3296.5757399883923</v>
      </c>
      <c r="J13" s="90">
        <f>1640.57+19.92+14.24+80</f>
        <v>1754.73</v>
      </c>
      <c r="K13" s="91">
        <f t="shared" si="0"/>
        <v>0.46771130457746479</v>
      </c>
      <c r="L13" s="90">
        <v>395.98786999419616</v>
      </c>
      <c r="M13" s="91">
        <f t="shared" si="1"/>
        <v>0.12012096830985915</v>
      </c>
      <c r="N13" s="11">
        <v>227.07573998839234</v>
      </c>
      <c r="O13" s="92">
        <v>0</v>
      </c>
      <c r="P13" s="89" t="s">
        <v>134</v>
      </c>
      <c r="Q13" s="12"/>
      <c r="R13" s="13"/>
      <c r="S13" s="13"/>
      <c r="T13" s="13"/>
      <c r="U13" s="13"/>
    </row>
    <row r="14" spans="2:21" s="2" customFormat="1" ht="15.75" hidden="1" x14ac:dyDescent="0.25">
      <c r="B14" s="22">
        <v>10</v>
      </c>
      <c r="C14" s="89" t="s">
        <v>41</v>
      </c>
      <c r="D14" s="89" t="s">
        <v>26</v>
      </c>
      <c r="E14" s="89" t="s">
        <v>448</v>
      </c>
      <c r="F14" s="10">
        <v>43496</v>
      </c>
      <c r="G14" s="89" t="s">
        <v>136</v>
      </c>
      <c r="H14" s="22" t="s">
        <v>14</v>
      </c>
      <c r="I14" s="90">
        <v>7893.2095182820658</v>
      </c>
      <c r="J14" s="90">
        <v>3948.73</v>
      </c>
      <c r="K14" s="91">
        <f t="shared" si="0"/>
        <v>0.4997307507352941</v>
      </c>
      <c r="L14" s="90">
        <v>790.72475914103302</v>
      </c>
      <c r="M14" s="91">
        <f t="shared" si="1"/>
        <v>0.10017785</v>
      </c>
      <c r="N14" s="11">
        <v>108.50951828206598</v>
      </c>
      <c r="O14" s="92">
        <v>0</v>
      </c>
      <c r="P14" s="89" t="s">
        <v>137</v>
      </c>
      <c r="Q14" s="12"/>
      <c r="R14" s="13"/>
      <c r="S14" s="13"/>
      <c r="T14" s="13"/>
      <c r="U14" s="13"/>
    </row>
    <row r="15" spans="2:21" s="2" customFormat="1" ht="15.75" hidden="1" x14ac:dyDescent="0.25">
      <c r="B15" s="22">
        <v>11</v>
      </c>
      <c r="C15" s="89" t="s">
        <v>41</v>
      </c>
      <c r="D15" s="89" t="s">
        <v>90</v>
      </c>
      <c r="E15" s="89" t="s">
        <v>92</v>
      </c>
      <c r="F15" s="10">
        <v>43475</v>
      </c>
      <c r="G15" s="106" t="s">
        <v>138</v>
      </c>
      <c r="H15" s="22" t="s">
        <v>437</v>
      </c>
      <c r="I15" s="107">
        <v>17320.487521764364</v>
      </c>
      <c r="J15" s="107">
        <v>6436.31</v>
      </c>
      <c r="K15" s="91">
        <f t="shared" si="0"/>
        <v>0.62839902791925795</v>
      </c>
      <c r="L15" s="107">
        <v>2548.683760882182</v>
      </c>
      <c r="M15" s="91">
        <f t="shared" si="1"/>
        <v>0.14714850016084066</v>
      </c>
      <c r="N15" s="12">
        <v>2248.0875217643643</v>
      </c>
      <c r="O15" s="108">
        <v>0</v>
      </c>
      <c r="P15" s="12"/>
      <c r="Q15" s="12"/>
      <c r="R15" s="13"/>
      <c r="S15" s="13"/>
      <c r="T15" s="13"/>
      <c r="U15" s="13"/>
    </row>
    <row r="16" spans="2:21" s="2" customFormat="1" ht="15.75" hidden="1" x14ac:dyDescent="0.25">
      <c r="B16" s="22">
        <v>12</v>
      </c>
      <c r="C16" s="89" t="s">
        <v>28</v>
      </c>
      <c r="D16" s="89" t="s">
        <v>33</v>
      </c>
      <c r="E16" s="89" t="s">
        <v>444</v>
      </c>
      <c r="F16" s="10">
        <v>43483</v>
      </c>
      <c r="G16" s="106" t="s">
        <v>139</v>
      </c>
      <c r="H16" s="22" t="s">
        <v>16</v>
      </c>
      <c r="I16" s="107">
        <v>8806.4889918887602</v>
      </c>
      <c r="J16" s="107">
        <v>4124.7299999999996</v>
      </c>
      <c r="K16" s="91">
        <f t="shared" si="0"/>
        <v>0.5316260539473685</v>
      </c>
      <c r="L16" s="107">
        <v>1265.7044959443804</v>
      </c>
      <c r="M16" s="91">
        <f t="shared" si="1"/>
        <v>0.14372407631578951</v>
      </c>
      <c r="N16" s="12">
        <v>1006.3889918887608</v>
      </c>
      <c r="O16" s="108">
        <v>0</v>
      </c>
      <c r="P16" s="12" t="s">
        <v>140</v>
      </c>
      <c r="Q16" s="12"/>
      <c r="R16" s="13"/>
      <c r="S16" s="13"/>
      <c r="T16" s="13"/>
      <c r="U16" s="13"/>
    </row>
    <row r="17" spans="1:21" s="2" customFormat="1" ht="15.75" hidden="1" x14ac:dyDescent="0.25">
      <c r="B17" s="22">
        <v>13</v>
      </c>
      <c r="C17" s="89" t="s">
        <v>28</v>
      </c>
      <c r="D17" s="89" t="s">
        <v>33</v>
      </c>
      <c r="E17" s="89" t="s">
        <v>444</v>
      </c>
      <c r="F17" s="10">
        <v>43491</v>
      </c>
      <c r="G17" s="106" t="s">
        <v>141</v>
      </c>
      <c r="H17" s="22" t="s">
        <v>16</v>
      </c>
      <c r="I17" s="107">
        <v>10891.71</v>
      </c>
      <c r="J17" s="107">
        <v>4809.78</v>
      </c>
      <c r="K17" s="91">
        <f t="shared" si="0"/>
        <v>0.55839992067361321</v>
      </c>
      <c r="L17" s="107">
        <v>1183.9750000000001</v>
      </c>
      <c r="M17" s="91">
        <f t="shared" si="1"/>
        <v>0.10870423468858427</v>
      </c>
      <c r="N17" s="12">
        <v>307.01000000000022</v>
      </c>
      <c r="O17" s="108">
        <v>0</v>
      </c>
      <c r="P17" s="12" t="s">
        <v>142</v>
      </c>
      <c r="Q17" s="12"/>
      <c r="R17" s="13"/>
      <c r="S17" s="13"/>
      <c r="T17" s="13"/>
      <c r="U17" s="13"/>
    </row>
    <row r="18" spans="1:21" s="2" customFormat="1" ht="15.75" hidden="1" x14ac:dyDescent="0.25">
      <c r="B18" s="22">
        <v>14</v>
      </c>
      <c r="C18" s="109" t="s">
        <v>28</v>
      </c>
      <c r="D18" s="109" t="s">
        <v>143</v>
      </c>
      <c r="E18" s="109" t="s">
        <v>144</v>
      </c>
      <c r="F18" s="110">
        <v>43496</v>
      </c>
      <c r="G18" s="111" t="s">
        <v>145</v>
      </c>
      <c r="H18" s="112" t="s">
        <v>18</v>
      </c>
      <c r="I18" s="107">
        <v>17512.862108922363</v>
      </c>
      <c r="J18" s="107">
        <v>9776.3799999999992</v>
      </c>
      <c r="K18" s="91">
        <f t="shared" si="0"/>
        <v>0.44176000820453104</v>
      </c>
      <c r="L18" s="107">
        <v>1521.6860544611823</v>
      </c>
      <c r="M18" s="91">
        <f t="shared" si="1"/>
        <v>8.6889626892335398E-2</v>
      </c>
      <c r="N18" s="12">
        <v>-94.23789107763514</v>
      </c>
      <c r="O18" s="108">
        <v>0</v>
      </c>
      <c r="P18" s="12"/>
      <c r="Q18" s="12"/>
      <c r="R18" s="13"/>
      <c r="S18" s="13"/>
      <c r="T18" s="13"/>
      <c r="U18" s="13"/>
    </row>
    <row r="19" spans="1:21" s="2" customFormat="1" ht="15.75" hidden="1" x14ac:dyDescent="0.25">
      <c r="B19" s="22">
        <v>15</v>
      </c>
      <c r="C19" s="89" t="s">
        <v>28</v>
      </c>
      <c r="D19" s="89" t="s">
        <v>146</v>
      </c>
      <c r="E19" s="89" t="s">
        <v>144</v>
      </c>
      <c r="F19" s="10">
        <v>43480</v>
      </c>
      <c r="G19" s="106" t="s">
        <v>147</v>
      </c>
      <c r="H19" s="22" t="s">
        <v>18</v>
      </c>
      <c r="I19" s="107">
        <v>3015.2459443800694</v>
      </c>
      <c r="J19" s="107">
        <v>3147.24</v>
      </c>
      <c r="K19" s="91">
        <f t="shared" si="0"/>
        <v>-4.3775551996329161E-2</v>
      </c>
      <c r="L19" s="107">
        <v>0</v>
      </c>
      <c r="M19" s="91">
        <f t="shared" si="1"/>
        <v>0</v>
      </c>
      <c r="N19" s="12">
        <v>-841.15205561993025</v>
      </c>
      <c r="O19" s="108">
        <v>0</v>
      </c>
      <c r="P19" s="12" t="s">
        <v>148</v>
      </c>
      <c r="Q19" s="12"/>
      <c r="R19" s="13"/>
      <c r="S19" s="13"/>
      <c r="T19" s="13"/>
      <c r="U19" s="13"/>
    </row>
    <row r="20" spans="1:21" s="2" customFormat="1" ht="15.75" hidden="1" x14ac:dyDescent="0.25">
      <c r="B20" s="22">
        <v>16</v>
      </c>
      <c r="C20" s="89" t="s">
        <v>28</v>
      </c>
      <c r="D20" s="89" t="s">
        <v>146</v>
      </c>
      <c r="E20" s="89" t="s">
        <v>449</v>
      </c>
      <c r="F20" s="10">
        <v>43480</v>
      </c>
      <c r="G20" s="106" t="s">
        <v>149</v>
      </c>
      <c r="H20" s="22" t="s">
        <v>104</v>
      </c>
      <c r="I20" s="107">
        <v>5000.139274623406</v>
      </c>
      <c r="J20" s="107">
        <v>2453.41</v>
      </c>
      <c r="K20" s="91">
        <f t="shared" si="0"/>
        <v>0.50933166752944448</v>
      </c>
      <c r="L20" s="107">
        <v>578.8496373117033</v>
      </c>
      <c r="M20" s="91">
        <f t="shared" si="1"/>
        <v>0.11576670278955387</v>
      </c>
      <c r="N20" s="12">
        <v>258.33927462340671</v>
      </c>
      <c r="O20" s="108">
        <v>0</v>
      </c>
      <c r="P20" s="12"/>
      <c r="Q20" s="12"/>
      <c r="R20" s="13"/>
      <c r="S20" s="13"/>
      <c r="T20" s="13"/>
      <c r="U20" s="13"/>
    </row>
    <row r="21" spans="1:21" s="2" customFormat="1" ht="15.75" hidden="1" x14ac:dyDescent="0.25">
      <c r="B21" s="22">
        <v>17</v>
      </c>
      <c r="C21" s="89" t="s">
        <v>28</v>
      </c>
      <c r="D21" s="89" t="s">
        <v>90</v>
      </c>
      <c r="E21" s="89" t="s">
        <v>448</v>
      </c>
      <c r="F21" s="10">
        <v>43509</v>
      </c>
      <c r="G21" s="106" t="s">
        <v>150</v>
      </c>
      <c r="H21" s="22" t="s">
        <v>19</v>
      </c>
      <c r="I21" s="107">
        <v>4004.64</v>
      </c>
      <c r="J21" s="107">
        <f>2158.33</f>
        <v>2158.33</v>
      </c>
      <c r="K21" s="91">
        <f t="shared" si="0"/>
        <v>0.46104269047904434</v>
      </c>
      <c r="L21" s="107">
        <v>355.91999999999996</v>
      </c>
      <c r="M21" s="91">
        <f t="shared" si="1"/>
        <v>8.8876902792760393E-2</v>
      </c>
      <c r="N21" s="12">
        <v>-6.3600000000001273</v>
      </c>
      <c r="O21" s="108">
        <v>0</v>
      </c>
      <c r="P21" s="12" t="s">
        <v>151</v>
      </c>
      <c r="Q21" s="12"/>
      <c r="R21" s="13"/>
      <c r="S21" s="13"/>
      <c r="T21" s="13"/>
      <c r="U21" s="13"/>
    </row>
    <row r="22" spans="1:21" s="2" customFormat="1" ht="15.75" hidden="1" x14ac:dyDescent="0.25">
      <c r="B22" s="22">
        <v>18</v>
      </c>
      <c r="C22" s="89" t="s">
        <v>111</v>
      </c>
      <c r="D22" s="89" t="s">
        <v>33</v>
      </c>
      <c r="E22" s="89" t="s">
        <v>444</v>
      </c>
      <c r="F22" s="10">
        <v>43472</v>
      </c>
      <c r="G22" s="106" t="s">
        <v>47</v>
      </c>
      <c r="H22" s="22" t="s">
        <v>443</v>
      </c>
      <c r="I22" s="107">
        <v>19988.405797101448</v>
      </c>
      <c r="J22" s="107">
        <v>10029.549999999999</v>
      </c>
      <c r="K22" s="91">
        <f t="shared" si="0"/>
        <v>0.49823161977958236</v>
      </c>
      <c r="L22" s="107">
        <v>2158.4028985507221</v>
      </c>
      <c r="M22" s="91">
        <f t="shared" si="1"/>
        <v>0.10798274361948944</v>
      </c>
      <c r="N22" s="12">
        <v>573.90579710144448</v>
      </c>
      <c r="O22" s="108">
        <v>0</v>
      </c>
      <c r="P22" s="12" t="s">
        <v>152</v>
      </c>
      <c r="Q22" s="12"/>
      <c r="R22" s="13"/>
      <c r="S22" s="13"/>
      <c r="T22" s="13"/>
      <c r="U22" s="13"/>
    </row>
    <row r="23" spans="1:21" s="2" customFormat="1" ht="15.75" hidden="1" x14ac:dyDescent="0.25">
      <c r="B23" s="22">
        <v>19</v>
      </c>
      <c r="C23" s="109" t="s">
        <v>28</v>
      </c>
      <c r="D23" s="109" t="s">
        <v>26</v>
      </c>
      <c r="E23" s="109" t="s">
        <v>92</v>
      </c>
      <c r="F23" s="110">
        <v>43512</v>
      </c>
      <c r="G23" s="111" t="s">
        <v>153</v>
      </c>
      <c r="H23" s="112" t="s">
        <v>438</v>
      </c>
      <c r="I23" s="107">
        <v>2452.996813441483</v>
      </c>
      <c r="J23" s="107">
        <v>1365.71</v>
      </c>
      <c r="K23" s="91">
        <f t="shared" si="0"/>
        <v>0.44324835951011748</v>
      </c>
      <c r="L23" s="107">
        <v>349.39840672074149</v>
      </c>
      <c r="M23" s="91">
        <f t="shared" si="1"/>
        <v>0.14243736673695295</v>
      </c>
      <c r="N23" s="12">
        <v>303.99681344148303</v>
      </c>
      <c r="O23" s="108">
        <v>0</v>
      </c>
      <c r="P23" s="12" t="s">
        <v>154</v>
      </c>
      <c r="Q23" s="12"/>
      <c r="R23" s="13"/>
      <c r="S23" s="13"/>
      <c r="T23" s="13"/>
      <c r="U23" s="13"/>
    </row>
    <row r="24" spans="1:21" s="2" customFormat="1" ht="15.75" hidden="1" x14ac:dyDescent="0.25">
      <c r="B24" s="22">
        <v>20</v>
      </c>
      <c r="C24" s="89" t="s">
        <v>28</v>
      </c>
      <c r="D24" s="89" t="s">
        <v>155</v>
      </c>
      <c r="E24" s="89" t="s">
        <v>446</v>
      </c>
      <c r="F24" s="10">
        <v>43503</v>
      </c>
      <c r="G24" s="106" t="s">
        <v>156</v>
      </c>
      <c r="H24" s="22" t="s">
        <v>16</v>
      </c>
      <c r="I24" s="107">
        <v>1353.4183082271145</v>
      </c>
      <c r="J24" s="107">
        <v>473</v>
      </c>
      <c r="K24" s="91">
        <f t="shared" si="0"/>
        <v>0.65051455479452047</v>
      </c>
      <c r="L24" s="107">
        <v>0</v>
      </c>
      <c r="M24" s="91">
        <f t="shared" si="1"/>
        <v>0</v>
      </c>
      <c r="N24" s="12">
        <f>I24-J24</f>
        <v>880.41830822711449</v>
      </c>
      <c r="O24" s="108">
        <v>0</v>
      </c>
      <c r="P24" s="12" t="s">
        <v>157</v>
      </c>
      <c r="Q24" s="12"/>
      <c r="R24" s="13"/>
      <c r="S24" s="13"/>
      <c r="T24" s="13"/>
      <c r="U24" s="13"/>
    </row>
    <row r="25" spans="1:21" s="2" customFormat="1" ht="15.75" hidden="1" x14ac:dyDescent="0.25">
      <c r="B25" s="22">
        <v>21</v>
      </c>
      <c r="C25" s="109" t="s">
        <v>45</v>
      </c>
      <c r="D25" s="109" t="s">
        <v>26</v>
      </c>
      <c r="E25" s="109" t="s">
        <v>447</v>
      </c>
      <c r="F25" s="110">
        <v>43486</v>
      </c>
      <c r="G25" s="111" t="s">
        <v>158</v>
      </c>
      <c r="H25" s="112" t="s">
        <v>14</v>
      </c>
      <c r="I25" s="113">
        <v>6047.6336633663359</v>
      </c>
      <c r="J25" s="113">
        <f>3475.35-287.5</f>
        <v>3187.85</v>
      </c>
      <c r="K25" s="114">
        <f t="shared" si="0"/>
        <v>0.47287647079047362</v>
      </c>
      <c r="L25" s="113">
        <v>661.31683168316795</v>
      </c>
      <c r="M25" s="114">
        <f t="shared" si="1"/>
        <v>0.10935133781153249</v>
      </c>
      <c r="N25" s="115">
        <v>465.83366336633571</v>
      </c>
      <c r="O25" s="116">
        <v>0</v>
      </c>
      <c r="P25" s="115" t="s">
        <v>159</v>
      </c>
      <c r="Q25" s="12"/>
      <c r="R25" s="13"/>
      <c r="S25" s="13"/>
      <c r="T25" s="13"/>
      <c r="U25" s="13"/>
    </row>
    <row r="26" spans="1:21" s="2" customFormat="1" ht="15.75" hidden="1" x14ac:dyDescent="0.25">
      <c r="B26" s="22">
        <v>22</v>
      </c>
      <c r="C26" s="89" t="s">
        <v>28</v>
      </c>
      <c r="D26" s="89" t="s">
        <v>146</v>
      </c>
      <c r="E26" s="89" t="s">
        <v>449</v>
      </c>
      <c r="F26" s="10">
        <v>43521</v>
      </c>
      <c r="G26" s="106" t="s">
        <v>160</v>
      </c>
      <c r="H26" s="22" t="s">
        <v>104</v>
      </c>
      <c r="I26" s="107">
        <v>5376.5932792584008</v>
      </c>
      <c r="J26" s="107">
        <v>2415.16</v>
      </c>
      <c r="K26" s="114">
        <f t="shared" si="0"/>
        <v>0.55080106034482756</v>
      </c>
      <c r="L26" s="113">
        <v>746.07663962920071</v>
      </c>
      <c r="M26" s="114">
        <f t="shared" si="1"/>
        <v>0.13876382327586212</v>
      </c>
      <c r="N26" s="12">
        <v>564.79327925840153</v>
      </c>
      <c r="O26" s="108">
        <v>0</v>
      </c>
      <c r="P26" s="12"/>
      <c r="Q26" s="12"/>
      <c r="R26" s="13"/>
      <c r="S26" s="13"/>
      <c r="T26" s="13"/>
      <c r="U26" s="13"/>
    </row>
    <row r="27" spans="1:21" s="2" customFormat="1" ht="15.75" hidden="1" x14ac:dyDescent="0.25">
      <c r="B27" s="22">
        <v>23</v>
      </c>
      <c r="C27" s="89" t="s">
        <v>161</v>
      </c>
      <c r="D27" s="89" t="s">
        <v>31</v>
      </c>
      <c r="E27" s="89" t="s">
        <v>449</v>
      </c>
      <c r="F27" s="10">
        <v>43528</v>
      </c>
      <c r="G27" s="106" t="s">
        <v>87</v>
      </c>
      <c r="H27" s="22" t="s">
        <v>13</v>
      </c>
      <c r="I27" s="107">
        <v>7605.3486578473439</v>
      </c>
      <c r="J27" s="107">
        <v>3373.7</v>
      </c>
      <c r="K27" s="114">
        <f t="shared" si="0"/>
        <v>0.55640429495379518</v>
      </c>
      <c r="L27" s="107">
        <v>569.93432892367287</v>
      </c>
      <c r="M27" s="114">
        <f t="shared" si="1"/>
        <v>7.4938619459030811E-2</v>
      </c>
      <c r="N27" s="12">
        <v>-105.15134215265425</v>
      </c>
      <c r="O27" s="108">
        <v>0</v>
      </c>
      <c r="P27" s="12"/>
      <c r="Q27" s="12"/>
      <c r="R27" s="13"/>
      <c r="S27" s="13"/>
      <c r="T27" s="13"/>
      <c r="U27" s="13"/>
    </row>
    <row r="28" spans="1:21" s="2" customFormat="1" ht="15.75" hidden="1" x14ac:dyDescent="0.25">
      <c r="B28" s="22">
        <v>24</v>
      </c>
      <c r="C28" s="89" t="s">
        <v>44</v>
      </c>
      <c r="D28" s="89" t="s">
        <v>146</v>
      </c>
      <c r="E28" s="89" t="s">
        <v>444</v>
      </c>
      <c r="F28" s="10">
        <v>43512</v>
      </c>
      <c r="G28" s="106" t="s">
        <v>162</v>
      </c>
      <c r="H28" s="22" t="s">
        <v>16</v>
      </c>
      <c r="I28" s="107">
        <v>6660.5118234275824</v>
      </c>
      <c r="J28" s="107">
        <v>3423.3</v>
      </c>
      <c r="K28" s="114">
        <f t="shared" si="0"/>
        <v>0.48603048973519763</v>
      </c>
      <c r="L28" s="107">
        <v>355.25591171379051</v>
      </c>
      <c r="M28" s="114">
        <f t="shared" si="1"/>
        <v>5.3337629469287752E-2</v>
      </c>
      <c r="N28" s="12">
        <v>-706.98817657241852</v>
      </c>
      <c r="O28" s="108">
        <v>0</v>
      </c>
      <c r="P28" s="12"/>
      <c r="Q28" s="12"/>
      <c r="R28" s="13"/>
      <c r="S28" s="13"/>
      <c r="T28" s="13"/>
      <c r="U28" s="13"/>
    </row>
    <row r="29" spans="1:21" s="2" customFormat="1" ht="15.75" hidden="1" x14ac:dyDescent="0.25">
      <c r="B29" s="22">
        <v>25</v>
      </c>
      <c r="C29" s="89" t="s">
        <v>28</v>
      </c>
      <c r="D29" s="89" t="s">
        <v>26</v>
      </c>
      <c r="E29" s="89" t="s">
        <v>15</v>
      </c>
      <c r="F29" s="10">
        <v>43509</v>
      </c>
      <c r="G29" s="106" t="s">
        <v>163</v>
      </c>
      <c r="H29" s="22" t="s">
        <v>13</v>
      </c>
      <c r="I29" s="107">
        <v>11135.840411355734</v>
      </c>
      <c r="J29" s="107">
        <v>5586.4</v>
      </c>
      <c r="K29" s="114">
        <f t="shared" si="0"/>
        <v>0.49834051192909623</v>
      </c>
      <c r="L29" s="107">
        <v>1055.3002056778671</v>
      </c>
      <c r="M29" s="114">
        <f t="shared" si="1"/>
        <v>9.4766103562487158E-2</v>
      </c>
      <c r="N29" s="12">
        <v>377.54041135573425</v>
      </c>
      <c r="O29" s="108">
        <v>0</v>
      </c>
      <c r="P29" s="12" t="s">
        <v>164</v>
      </c>
      <c r="Q29" s="12"/>
      <c r="R29" s="13"/>
      <c r="S29" s="13"/>
      <c r="T29" s="13"/>
      <c r="U29" s="13"/>
    </row>
    <row r="30" spans="1:21" s="2" customFormat="1" ht="15.75" hidden="1" x14ac:dyDescent="0.25">
      <c r="B30" s="22">
        <v>26</v>
      </c>
      <c r="C30" s="109" t="s">
        <v>28</v>
      </c>
      <c r="D30" s="109" t="s">
        <v>33</v>
      </c>
      <c r="E30" s="109" t="s">
        <v>444</v>
      </c>
      <c r="F30" s="110">
        <v>43500</v>
      </c>
      <c r="G30" s="111" t="s">
        <v>165</v>
      </c>
      <c r="H30" s="112" t="s">
        <v>16</v>
      </c>
      <c r="I30" s="113">
        <v>9455.388180764774</v>
      </c>
      <c r="J30" s="113">
        <v>5137.2299999999996</v>
      </c>
      <c r="K30" s="114">
        <f t="shared" si="0"/>
        <v>0.45668756250000003</v>
      </c>
      <c r="L30" s="113">
        <v>674.41409038238658</v>
      </c>
      <c r="M30" s="114">
        <f t="shared" si="1"/>
        <v>7.1325901960784269E-2</v>
      </c>
      <c r="N30" s="115">
        <v>-554.89181923522665</v>
      </c>
      <c r="O30" s="116">
        <v>0</v>
      </c>
      <c r="P30" s="115" t="s">
        <v>166</v>
      </c>
      <c r="Q30" s="12"/>
      <c r="R30" s="13"/>
      <c r="S30" s="13"/>
      <c r="T30" s="13"/>
      <c r="U30" s="13"/>
    </row>
    <row r="31" spans="1:21" s="2" customFormat="1" ht="15.75" hidden="1" x14ac:dyDescent="0.25">
      <c r="B31" s="22">
        <v>27</v>
      </c>
      <c r="C31" s="89" t="s">
        <v>28</v>
      </c>
      <c r="D31" s="89" t="s">
        <v>33</v>
      </c>
      <c r="E31" s="89" t="s">
        <v>444</v>
      </c>
      <c r="F31" s="10">
        <v>43510</v>
      </c>
      <c r="G31" s="106" t="s">
        <v>167</v>
      </c>
      <c r="H31" s="22" t="s">
        <v>16</v>
      </c>
      <c r="I31" s="107">
        <v>8899.1888760139045</v>
      </c>
      <c r="J31" s="107">
        <v>4900.24</v>
      </c>
      <c r="K31" s="114">
        <f t="shared" si="0"/>
        <v>0.44936105208333332</v>
      </c>
      <c r="L31" s="113">
        <v>677.29443800695219</v>
      </c>
      <c r="M31" s="114">
        <f t="shared" si="1"/>
        <v>7.6107434895833298E-2</v>
      </c>
      <c r="N31" s="12">
        <v>-487.81112398609548</v>
      </c>
      <c r="O31" s="108">
        <v>0</v>
      </c>
      <c r="P31" s="12" t="s">
        <v>168</v>
      </c>
      <c r="Q31" s="12"/>
      <c r="R31" s="13"/>
      <c r="S31" s="13"/>
      <c r="T31" s="13"/>
      <c r="U31" s="13"/>
    </row>
    <row r="32" spans="1:21" s="2" customFormat="1" ht="15.75" hidden="1" x14ac:dyDescent="0.25">
      <c r="A32" s="23"/>
      <c r="B32" s="22">
        <v>28</v>
      </c>
      <c r="C32" s="89" t="s">
        <v>41</v>
      </c>
      <c r="D32" s="89" t="s">
        <v>31</v>
      </c>
      <c r="E32" s="89" t="s">
        <v>449</v>
      </c>
      <c r="F32" s="10">
        <v>43531</v>
      </c>
      <c r="G32" s="106" t="s">
        <v>169</v>
      </c>
      <c r="H32" s="22" t="s">
        <v>13</v>
      </c>
      <c r="I32" s="107">
        <v>8785.6065002901905</v>
      </c>
      <c r="J32" s="107">
        <v>3461.93</v>
      </c>
      <c r="K32" s="114">
        <f t="shared" si="0"/>
        <v>0.60595435273755405</v>
      </c>
      <c r="L32" s="107">
        <v>974.70325014509524</v>
      </c>
      <c r="M32" s="114">
        <f t="shared" si="1"/>
        <v>0.11094319442976425</v>
      </c>
      <c r="N32" s="12">
        <v>301.60650029019052</v>
      </c>
      <c r="O32" s="108">
        <v>0</v>
      </c>
      <c r="P32" s="12"/>
      <c r="Q32" s="12"/>
      <c r="R32" s="13"/>
      <c r="S32" s="13"/>
      <c r="T32" s="13"/>
      <c r="U32" s="13"/>
    </row>
    <row r="33" spans="1:21" s="2" customFormat="1" ht="15.75" hidden="1" x14ac:dyDescent="0.25">
      <c r="A33" s="23"/>
      <c r="B33" s="22">
        <v>29</v>
      </c>
      <c r="C33" s="89" t="s">
        <v>161</v>
      </c>
      <c r="D33" s="89" t="s">
        <v>31</v>
      </c>
      <c r="E33" s="89" t="s">
        <v>449</v>
      </c>
      <c r="F33" s="10">
        <v>43529</v>
      </c>
      <c r="G33" s="106" t="s">
        <v>170</v>
      </c>
      <c r="H33" s="22" t="s">
        <v>13</v>
      </c>
      <c r="I33" s="107">
        <v>6970.9449678346118</v>
      </c>
      <c r="J33" s="107">
        <v>2665.22</v>
      </c>
      <c r="K33" s="114">
        <f t="shared" si="0"/>
        <v>0.61766733028335785</v>
      </c>
      <c r="L33" s="107">
        <v>932.71248391730592</v>
      </c>
      <c r="M33" s="114">
        <f t="shared" si="1"/>
        <v>0.13380000677397899</v>
      </c>
      <c r="N33" s="12">
        <v>933.44496783461182</v>
      </c>
      <c r="O33" s="108">
        <v>0</v>
      </c>
      <c r="P33" s="12"/>
      <c r="Q33" s="12"/>
      <c r="R33" s="13"/>
      <c r="S33" s="13"/>
      <c r="T33" s="13"/>
      <c r="U33" s="13"/>
    </row>
    <row r="34" spans="1:21" s="2" customFormat="1" ht="15.75" hidden="1" x14ac:dyDescent="0.25">
      <c r="A34" s="23"/>
      <c r="B34" s="22">
        <v>30</v>
      </c>
      <c r="C34" s="89" t="s">
        <v>100</v>
      </c>
      <c r="D34" s="89" t="s">
        <v>90</v>
      </c>
      <c r="E34" s="89" t="s">
        <v>15</v>
      </c>
      <c r="F34" s="10">
        <v>43504</v>
      </c>
      <c r="G34" s="106" t="s">
        <v>54</v>
      </c>
      <c r="H34" s="22" t="s">
        <v>13</v>
      </c>
      <c r="I34" s="107">
        <v>43959.576968272624</v>
      </c>
      <c r="J34" s="107">
        <v>18930.599999999999</v>
      </c>
      <c r="K34" s="114">
        <f t="shared" si="0"/>
        <v>0.56936346285445449</v>
      </c>
      <c r="L34" s="107">
        <v>6285.3684841363101</v>
      </c>
      <c r="M34" s="114">
        <f t="shared" si="1"/>
        <v>0.1429806407980839</v>
      </c>
      <c r="N34" s="12">
        <v>4784.7769682726212</v>
      </c>
      <c r="O34" s="108">
        <v>0</v>
      </c>
      <c r="P34" s="12"/>
      <c r="Q34" s="12"/>
      <c r="R34" s="13"/>
      <c r="S34" s="13"/>
      <c r="T34" s="13"/>
      <c r="U34" s="13"/>
    </row>
    <row r="35" spans="1:21" s="2" customFormat="1" ht="15.75" hidden="1" x14ac:dyDescent="0.25">
      <c r="A35" s="23"/>
      <c r="B35" s="22">
        <v>31</v>
      </c>
      <c r="C35" s="89" t="s">
        <v>28</v>
      </c>
      <c r="D35" s="89" t="s">
        <v>26</v>
      </c>
      <c r="E35" s="89" t="s">
        <v>15</v>
      </c>
      <c r="F35" s="10">
        <v>43542</v>
      </c>
      <c r="G35" s="106" t="s">
        <v>171</v>
      </c>
      <c r="H35" s="22" t="s">
        <v>13</v>
      </c>
      <c r="I35" s="107">
        <v>2183.8995625724215</v>
      </c>
      <c r="J35" s="107">
        <v>1133.0899999999999</v>
      </c>
      <c r="K35" s="114">
        <f t="shared" si="0"/>
        <v>0.48116203720223744</v>
      </c>
      <c r="L35" s="107">
        <v>137.28978128621071</v>
      </c>
      <c r="M35" s="114">
        <f t="shared" si="1"/>
        <v>6.2864512470755154E-2</v>
      </c>
      <c r="N35" s="12">
        <v>-124.00043742757862</v>
      </c>
      <c r="O35" s="108">
        <v>0</v>
      </c>
      <c r="P35" s="12"/>
      <c r="Q35" s="12"/>
      <c r="R35" s="13"/>
      <c r="S35" s="13"/>
      <c r="T35" s="13"/>
      <c r="U35" s="13"/>
    </row>
    <row r="36" spans="1:21" s="2" customFormat="1" ht="15.75" hidden="1" x14ac:dyDescent="0.25">
      <c r="A36" s="23"/>
      <c r="B36" s="22">
        <v>32</v>
      </c>
      <c r="C36" s="89" t="s">
        <v>57</v>
      </c>
      <c r="D36" s="89" t="s">
        <v>90</v>
      </c>
      <c r="E36" s="89" t="s">
        <v>449</v>
      </c>
      <c r="F36" s="10">
        <v>43536</v>
      </c>
      <c r="G36" s="106" t="s">
        <v>172</v>
      </c>
      <c r="H36" s="22" t="s">
        <v>13</v>
      </c>
      <c r="I36" s="107">
        <v>4171.4947856315175</v>
      </c>
      <c r="J36" s="107">
        <v>1482.45</v>
      </c>
      <c r="K36" s="114">
        <f t="shared" si="0"/>
        <v>0.64462379166666672</v>
      </c>
      <c r="L36" s="107">
        <v>564.64739281575896</v>
      </c>
      <c r="M36" s="114">
        <f t="shared" si="1"/>
        <v>0.13535852777777779</v>
      </c>
      <c r="N36" s="12">
        <v>429.99478563151797</v>
      </c>
      <c r="O36" s="108">
        <v>0</v>
      </c>
      <c r="P36" s="12"/>
      <c r="Q36" s="12"/>
      <c r="R36" s="13"/>
      <c r="S36" s="13"/>
      <c r="T36" s="13"/>
      <c r="U36" s="13"/>
    </row>
    <row r="37" spans="1:21" s="2" customFormat="1" ht="15.75" hidden="1" x14ac:dyDescent="0.25">
      <c r="A37" s="23"/>
      <c r="B37" s="22">
        <v>33</v>
      </c>
      <c r="C37" s="89" t="s">
        <v>28</v>
      </c>
      <c r="D37" s="89" t="s">
        <v>26</v>
      </c>
      <c r="E37" s="89" t="s">
        <v>448</v>
      </c>
      <c r="F37" s="10">
        <v>43519</v>
      </c>
      <c r="G37" s="106" t="s">
        <v>173</v>
      </c>
      <c r="H37" s="22" t="s">
        <v>61</v>
      </c>
      <c r="I37" s="107">
        <v>28412.514484356892</v>
      </c>
      <c r="J37" s="107">
        <v>11861.48</v>
      </c>
      <c r="K37" s="114">
        <f t="shared" si="0"/>
        <v>0.58252621370309954</v>
      </c>
      <c r="L37" s="107">
        <v>3262.0372421784464</v>
      </c>
      <c r="M37" s="114">
        <f t="shared" si="1"/>
        <v>0.11480987520391515</v>
      </c>
      <c r="N37" s="12">
        <v>2236.7144843568931</v>
      </c>
      <c r="O37" s="108">
        <v>0</v>
      </c>
      <c r="P37" s="12"/>
      <c r="Q37" s="12"/>
      <c r="R37" s="13"/>
      <c r="S37" s="13"/>
      <c r="T37" s="13"/>
      <c r="U37" s="13"/>
    </row>
    <row r="38" spans="1:21" s="2" customFormat="1" ht="15.75" hidden="1" x14ac:dyDescent="0.25">
      <c r="A38" s="23"/>
      <c r="B38" s="22">
        <v>34</v>
      </c>
      <c r="C38" s="89" t="s">
        <v>28</v>
      </c>
      <c r="D38" s="89" t="s">
        <v>33</v>
      </c>
      <c r="E38" s="89" t="s">
        <v>444</v>
      </c>
      <c r="F38" s="10">
        <v>43516</v>
      </c>
      <c r="G38" s="106" t="s">
        <v>174</v>
      </c>
      <c r="H38" s="22" t="s">
        <v>16</v>
      </c>
      <c r="I38" s="107">
        <v>11123.986095017381</v>
      </c>
      <c r="J38" s="107">
        <f>5532.68</f>
        <v>5532.68</v>
      </c>
      <c r="K38" s="114">
        <f t="shared" si="0"/>
        <v>0.50263512083333328</v>
      </c>
      <c r="L38" s="107">
        <v>1229.4130475086909</v>
      </c>
      <c r="M38" s="114">
        <f t="shared" si="1"/>
        <v>0.11051911041666669</v>
      </c>
      <c r="N38" s="12">
        <v>458.78609501738174</v>
      </c>
      <c r="O38" s="108">
        <v>0</v>
      </c>
      <c r="P38" s="12" t="s">
        <v>175</v>
      </c>
      <c r="Q38" s="12"/>
      <c r="R38" s="13"/>
      <c r="S38" s="13"/>
      <c r="T38" s="13"/>
      <c r="U38" s="13"/>
    </row>
    <row r="39" spans="1:21" s="2" customFormat="1" ht="15.75" hidden="1" x14ac:dyDescent="0.25">
      <c r="A39" s="23"/>
      <c r="B39" s="22">
        <v>35</v>
      </c>
      <c r="C39" s="89" t="s">
        <v>28</v>
      </c>
      <c r="D39" s="89" t="s">
        <v>90</v>
      </c>
      <c r="E39" s="89" t="s">
        <v>15</v>
      </c>
      <c r="F39" s="10">
        <v>43512</v>
      </c>
      <c r="G39" s="106" t="s">
        <v>176</v>
      </c>
      <c r="H39" s="22" t="s">
        <v>20</v>
      </c>
      <c r="I39" s="107">
        <v>4015.7589803012743</v>
      </c>
      <c r="J39" s="107">
        <v>1558.61</v>
      </c>
      <c r="K39" s="114">
        <f t="shared" si="0"/>
        <v>0.61187660722530013</v>
      </c>
      <c r="L39" s="107">
        <v>596.81949015063731</v>
      </c>
      <c r="M39" s="114">
        <f t="shared" si="1"/>
        <v>0.14861935018467221</v>
      </c>
      <c r="N39" s="12">
        <v>549.35898030127464</v>
      </c>
      <c r="O39" s="108">
        <v>0</v>
      </c>
      <c r="P39" s="12"/>
      <c r="Q39" s="12"/>
      <c r="R39" s="13"/>
      <c r="S39" s="13"/>
      <c r="T39" s="13"/>
      <c r="U39" s="13"/>
    </row>
    <row r="40" spans="1:21" s="2" customFormat="1" ht="15.75" hidden="1" x14ac:dyDescent="0.25">
      <c r="A40" s="23"/>
      <c r="B40" s="22">
        <v>36</v>
      </c>
      <c r="C40" s="89" t="s">
        <v>41</v>
      </c>
      <c r="D40" s="89" t="s">
        <v>31</v>
      </c>
      <c r="E40" s="89" t="s">
        <v>15</v>
      </c>
      <c r="F40" s="10">
        <v>43505</v>
      </c>
      <c r="G40" s="106" t="s">
        <v>177</v>
      </c>
      <c r="H40" s="22" t="s">
        <v>20</v>
      </c>
      <c r="I40" s="107">
        <v>4970.87</v>
      </c>
      <c r="J40" s="107">
        <f>2403.78-171</f>
        <v>2232.7800000000002</v>
      </c>
      <c r="K40" s="114">
        <f t="shared" si="0"/>
        <v>0.55082711879409429</v>
      </c>
      <c r="L40" s="107">
        <v>749.99500000000023</v>
      </c>
      <c r="M40" s="114">
        <f t="shared" si="1"/>
        <v>0.15087801531723827</v>
      </c>
      <c r="N40" s="12">
        <v>754.77000000000044</v>
      </c>
      <c r="O40" s="108">
        <v>0</v>
      </c>
      <c r="P40" s="12" t="s">
        <v>178</v>
      </c>
      <c r="Q40" s="12"/>
      <c r="R40" s="13"/>
      <c r="S40" s="13"/>
      <c r="T40" s="13"/>
      <c r="U40" s="13"/>
    </row>
    <row r="41" spans="1:21" s="2" customFormat="1" ht="15.75" hidden="1" x14ac:dyDescent="0.25">
      <c r="A41" s="23"/>
      <c r="B41" s="22">
        <v>37</v>
      </c>
      <c r="C41" s="89" t="s">
        <v>57</v>
      </c>
      <c r="D41" s="89" t="s">
        <v>26</v>
      </c>
      <c r="E41" s="89" t="s">
        <v>15</v>
      </c>
      <c r="F41" s="10">
        <v>43553</v>
      </c>
      <c r="G41" s="106" t="s">
        <v>29</v>
      </c>
      <c r="H41" s="22" t="s">
        <v>13</v>
      </c>
      <c r="I41" s="107">
        <v>2724.603640634175</v>
      </c>
      <c r="J41" s="107">
        <v>1071.68</v>
      </c>
      <c r="K41" s="114">
        <f t="shared" si="0"/>
        <v>0.60666572413793096</v>
      </c>
      <c r="L41" s="107">
        <v>314.96182031708759</v>
      </c>
      <c r="M41" s="114">
        <f t="shared" si="1"/>
        <v>0.11559913362068969</v>
      </c>
      <c r="N41" s="12">
        <v>167.5036406341751</v>
      </c>
      <c r="O41" s="108">
        <v>0</v>
      </c>
      <c r="P41" s="12"/>
      <c r="Q41" s="12"/>
      <c r="R41" s="13"/>
      <c r="S41" s="13"/>
      <c r="T41" s="13"/>
      <c r="U41" s="13"/>
    </row>
    <row r="42" spans="1:21" s="2" customFormat="1" ht="15.75" hidden="1" x14ac:dyDescent="0.25">
      <c r="A42" s="23"/>
      <c r="B42" s="22">
        <v>38</v>
      </c>
      <c r="C42" s="89" t="s">
        <v>41</v>
      </c>
      <c r="D42" s="89" t="s">
        <v>26</v>
      </c>
      <c r="E42" s="89" t="s">
        <v>92</v>
      </c>
      <c r="F42" s="10">
        <v>43501</v>
      </c>
      <c r="G42" s="106" t="s">
        <v>179</v>
      </c>
      <c r="H42" s="22" t="s">
        <v>14</v>
      </c>
      <c r="I42" s="107">
        <v>14672.083575159604</v>
      </c>
      <c r="J42" s="107">
        <f>7461.75</f>
        <v>7461.75</v>
      </c>
      <c r="K42" s="114">
        <f t="shared" si="0"/>
        <v>0.49143214992088602</v>
      </c>
      <c r="L42" s="107">
        <v>1500.841787579802</v>
      </c>
      <c r="M42" s="114">
        <f t="shared" si="1"/>
        <v>0.10229234177215187</v>
      </c>
      <c r="N42" s="12">
        <v>189.08357515960415</v>
      </c>
      <c r="O42" s="108">
        <v>0</v>
      </c>
      <c r="P42" s="12" t="s">
        <v>180</v>
      </c>
      <c r="Q42" s="12"/>
      <c r="R42" s="13"/>
      <c r="S42" s="13"/>
      <c r="T42" s="13"/>
      <c r="U42" s="13"/>
    </row>
    <row r="43" spans="1:21" s="2" customFormat="1" ht="15.75" hidden="1" x14ac:dyDescent="0.25">
      <c r="A43" s="23"/>
      <c r="B43" s="22">
        <v>39</v>
      </c>
      <c r="C43" s="89" t="s">
        <v>100</v>
      </c>
      <c r="D43" s="89" t="s">
        <v>146</v>
      </c>
      <c r="E43" s="89" t="s">
        <v>144</v>
      </c>
      <c r="F43" s="10">
        <v>43495</v>
      </c>
      <c r="G43" s="106" t="s">
        <v>181</v>
      </c>
      <c r="H43" s="22" t="s">
        <v>18</v>
      </c>
      <c r="I43" s="107">
        <v>20591.304347826088</v>
      </c>
      <c r="J43" s="107">
        <f>9866.14-273.58-320.37</f>
        <v>9272.1899999999987</v>
      </c>
      <c r="K43" s="114">
        <f t="shared" si="0"/>
        <v>0.54970361064189199</v>
      </c>
      <c r="L43" s="107">
        <v>2979.8009739130453</v>
      </c>
      <c r="M43" s="114">
        <f t="shared" si="1"/>
        <v>0.14471161824324333</v>
      </c>
      <c r="N43" s="12">
        <v>2752.4063478260905</v>
      </c>
      <c r="O43" s="108">
        <v>0</v>
      </c>
      <c r="P43" s="12" t="s">
        <v>182</v>
      </c>
      <c r="Q43" s="12"/>
      <c r="R43" s="13"/>
      <c r="S43" s="13"/>
      <c r="T43" s="13"/>
      <c r="U43" s="13"/>
    </row>
    <row r="44" spans="1:21" s="2" customFormat="1" ht="15.75" hidden="1" x14ac:dyDescent="0.25">
      <c r="A44" s="23"/>
      <c r="B44" s="22">
        <v>40</v>
      </c>
      <c r="C44" s="89" t="s">
        <v>28</v>
      </c>
      <c r="D44" s="89" t="s">
        <v>146</v>
      </c>
      <c r="E44" s="89" t="s">
        <v>15</v>
      </c>
      <c r="F44" s="10">
        <v>43512</v>
      </c>
      <c r="G44" s="106" t="s">
        <v>183</v>
      </c>
      <c r="H44" s="22" t="s">
        <v>20</v>
      </c>
      <c r="I44" s="107">
        <v>6224.7972190034761</v>
      </c>
      <c r="J44" s="107">
        <v>3365.59</v>
      </c>
      <c r="K44" s="114">
        <f t="shared" si="0"/>
        <v>0.45932535927029033</v>
      </c>
      <c r="L44" s="107">
        <v>701.17860950173792</v>
      </c>
      <c r="M44" s="114">
        <f t="shared" si="1"/>
        <v>0.11264280342516751</v>
      </c>
      <c r="N44" s="12">
        <v>257.99721900347595</v>
      </c>
      <c r="O44" s="108">
        <v>0</v>
      </c>
      <c r="P44" s="12" t="s">
        <v>184</v>
      </c>
      <c r="Q44" s="12"/>
      <c r="R44" s="13"/>
      <c r="S44" s="13"/>
      <c r="T44" s="13"/>
      <c r="U44" s="13"/>
    </row>
    <row r="45" spans="1:21" s="2" customFormat="1" ht="15.75" hidden="1" x14ac:dyDescent="0.25">
      <c r="A45" s="23"/>
      <c r="B45" s="22">
        <v>41</v>
      </c>
      <c r="C45" s="89" t="s">
        <v>185</v>
      </c>
      <c r="D45" s="89" t="s">
        <v>31</v>
      </c>
      <c r="E45" s="89" t="s">
        <v>449</v>
      </c>
      <c r="F45" s="10">
        <v>43481</v>
      </c>
      <c r="G45" s="106" t="s">
        <v>186</v>
      </c>
      <c r="H45" s="22" t="s">
        <v>20</v>
      </c>
      <c r="I45" s="107">
        <v>35617.785487309629</v>
      </c>
      <c r="J45" s="107">
        <v>15510.17</v>
      </c>
      <c r="K45" s="114">
        <f t="shared" si="0"/>
        <v>0.56453862058532067</v>
      </c>
      <c r="L45" s="107">
        <v>5736.1747436548158</v>
      </c>
      <c r="M45" s="114">
        <f t="shared" si="1"/>
        <v>0.16104804566523584</v>
      </c>
      <c r="N45" s="12">
        <v>6356.8894873096324</v>
      </c>
      <c r="O45" s="108">
        <v>400</v>
      </c>
      <c r="P45" s="12"/>
      <c r="Q45" s="12"/>
      <c r="R45" s="13"/>
      <c r="S45" s="13"/>
      <c r="T45" s="13"/>
      <c r="U45" s="13"/>
    </row>
    <row r="46" spans="1:21" s="2" customFormat="1" ht="15.75" hidden="1" x14ac:dyDescent="0.25">
      <c r="A46" s="23"/>
      <c r="B46" s="22">
        <v>42</v>
      </c>
      <c r="C46" s="89" t="s">
        <v>28</v>
      </c>
      <c r="D46" s="89" t="s">
        <v>33</v>
      </c>
      <c r="E46" s="89" t="s">
        <v>444</v>
      </c>
      <c r="F46" s="10">
        <v>43523</v>
      </c>
      <c r="G46" s="106" t="s">
        <v>187</v>
      </c>
      <c r="H46" s="22" t="s">
        <v>16</v>
      </c>
      <c r="I46" s="107">
        <v>7045.1911935110074</v>
      </c>
      <c r="J46" s="107">
        <f>3480.09</f>
        <v>3480.09</v>
      </c>
      <c r="K46" s="114">
        <f t="shared" si="0"/>
        <v>0.50603327796052622</v>
      </c>
      <c r="L46" s="107">
        <f>980.895596755504</f>
        <v>980.89559675550402</v>
      </c>
      <c r="M46" s="114">
        <f t="shared" si="1"/>
        <v>0.13922909539473685</v>
      </c>
      <c r="N46" s="12">
        <v>734.69119351100744</v>
      </c>
      <c r="O46" s="108">
        <v>0</v>
      </c>
      <c r="P46" s="12" t="s">
        <v>188</v>
      </c>
      <c r="Q46" s="12"/>
      <c r="R46" s="13"/>
      <c r="S46" s="13"/>
      <c r="T46" s="13"/>
      <c r="U46" s="13"/>
    </row>
    <row r="47" spans="1:21" s="2" customFormat="1" ht="15.75" hidden="1" x14ac:dyDescent="0.25">
      <c r="A47" s="23"/>
      <c r="B47" s="22">
        <v>43</v>
      </c>
      <c r="C47" s="89" t="s">
        <v>41</v>
      </c>
      <c r="D47" s="89" t="s">
        <v>31</v>
      </c>
      <c r="E47" s="89" t="s">
        <v>448</v>
      </c>
      <c r="F47" s="10">
        <v>43533</v>
      </c>
      <c r="G47" s="106" t="s">
        <v>106</v>
      </c>
      <c r="H47" s="22" t="s">
        <v>14</v>
      </c>
      <c r="I47" s="107">
        <v>10302.959953569356</v>
      </c>
      <c r="J47" s="107">
        <v>4041.19</v>
      </c>
      <c r="K47" s="114">
        <f t="shared" si="0"/>
        <v>0.60776417474087419</v>
      </c>
      <c r="L47" s="107">
        <v>1383.2399767846787</v>
      </c>
      <c r="M47" s="114">
        <f t="shared" si="1"/>
        <v>0.13425656151419565</v>
      </c>
      <c r="N47" s="12">
        <v>1281.3599535693575</v>
      </c>
      <c r="O47" s="108">
        <v>83.58</v>
      </c>
      <c r="P47" s="12" t="s">
        <v>189</v>
      </c>
      <c r="Q47" s="12"/>
      <c r="R47" s="13"/>
      <c r="S47" s="13"/>
      <c r="T47" s="13"/>
      <c r="U47" s="13"/>
    </row>
    <row r="48" spans="1:21" s="2" customFormat="1" ht="15.75" hidden="1" x14ac:dyDescent="0.25">
      <c r="A48" s="23"/>
      <c r="B48" s="22">
        <v>44</v>
      </c>
      <c r="C48" s="89" t="s">
        <v>28</v>
      </c>
      <c r="D48" s="89" t="s">
        <v>26</v>
      </c>
      <c r="E48" s="89" t="s">
        <v>92</v>
      </c>
      <c r="F48" s="10">
        <v>43554</v>
      </c>
      <c r="G48" s="106" t="s">
        <v>190</v>
      </c>
      <c r="H48" s="22" t="s">
        <v>19</v>
      </c>
      <c r="I48" s="107">
        <v>5747.3928157589799</v>
      </c>
      <c r="J48" s="107">
        <f>2553.55</f>
        <v>2553.5500000000002</v>
      </c>
      <c r="K48" s="114">
        <f t="shared" si="0"/>
        <v>0.55570289314516119</v>
      </c>
      <c r="L48" s="107">
        <v>937.35640787949023</v>
      </c>
      <c r="M48" s="114">
        <f t="shared" si="1"/>
        <v>0.16309245564516131</v>
      </c>
      <c r="N48" s="12">
        <v>1009.7928157589804</v>
      </c>
      <c r="O48" s="108">
        <v>0</v>
      </c>
      <c r="P48" s="12" t="s">
        <v>191</v>
      </c>
      <c r="Q48" s="12"/>
      <c r="R48" s="13"/>
      <c r="S48" s="13"/>
      <c r="T48" s="13"/>
      <c r="U48" s="13"/>
    </row>
    <row r="49" spans="1:21" s="2" customFormat="1" ht="15.75" hidden="1" x14ac:dyDescent="0.25">
      <c r="A49" s="23"/>
      <c r="B49" s="22">
        <v>45</v>
      </c>
      <c r="C49" s="89" t="s">
        <v>41</v>
      </c>
      <c r="D49" s="89" t="s">
        <v>90</v>
      </c>
      <c r="E49" s="89" t="s">
        <v>92</v>
      </c>
      <c r="F49" s="10">
        <v>43507</v>
      </c>
      <c r="G49" s="106" t="s">
        <v>192</v>
      </c>
      <c r="H49" s="22" t="s">
        <v>60</v>
      </c>
      <c r="I49" s="107">
        <v>57224.840394660474</v>
      </c>
      <c r="J49" s="107">
        <v>26474.51</v>
      </c>
      <c r="K49" s="114">
        <f t="shared" si="0"/>
        <v>0.53735982804994809</v>
      </c>
      <c r="L49" s="107">
        <v>5589.980197330241</v>
      </c>
      <c r="M49" s="114">
        <f t="shared" si="1"/>
        <v>9.7684504819550877E-2</v>
      </c>
      <c r="N49" s="12">
        <v>2269.2403946604827</v>
      </c>
      <c r="O49" s="108">
        <v>0</v>
      </c>
      <c r="P49" s="12"/>
      <c r="Q49" s="12"/>
      <c r="R49" s="13"/>
      <c r="S49" s="13"/>
      <c r="T49" s="13"/>
      <c r="U49" s="13"/>
    </row>
    <row r="50" spans="1:21" s="2" customFormat="1" ht="15.75" hidden="1" x14ac:dyDescent="0.25">
      <c r="A50" s="23"/>
      <c r="B50" s="22">
        <v>46</v>
      </c>
      <c r="C50" s="89" t="s">
        <v>28</v>
      </c>
      <c r="D50" s="89" t="s">
        <v>26</v>
      </c>
      <c r="E50" s="89" t="s">
        <v>92</v>
      </c>
      <c r="F50" s="10">
        <v>43523</v>
      </c>
      <c r="G50" s="106" t="s">
        <v>193</v>
      </c>
      <c r="H50" s="22" t="s">
        <v>60</v>
      </c>
      <c r="I50" s="107">
        <v>36987.253765932786</v>
      </c>
      <c r="J50" s="107">
        <f>18070.72</f>
        <v>18070.72</v>
      </c>
      <c r="K50" s="114">
        <f t="shared" si="0"/>
        <v>0.51143385463659141</v>
      </c>
      <c r="L50" s="107">
        <v>4264.7968829663951</v>
      </c>
      <c r="M50" s="114">
        <f t="shared" si="1"/>
        <v>0.11530450219298244</v>
      </c>
      <c r="N50" s="12">
        <v>2399.5537659327892</v>
      </c>
      <c r="O50" s="108">
        <v>0</v>
      </c>
      <c r="P50" s="12" t="s">
        <v>194</v>
      </c>
      <c r="Q50" s="12"/>
      <c r="R50" s="13"/>
      <c r="S50" s="13"/>
      <c r="T50" s="13"/>
      <c r="U50" s="13"/>
    </row>
    <row r="51" spans="1:21" s="2" customFormat="1" ht="15.75" hidden="1" x14ac:dyDescent="0.25">
      <c r="A51" s="23"/>
      <c r="B51" s="22">
        <v>47</v>
      </c>
      <c r="C51" s="89" t="s">
        <v>28</v>
      </c>
      <c r="D51" s="89" t="s">
        <v>26</v>
      </c>
      <c r="E51" s="89" t="s">
        <v>15</v>
      </c>
      <c r="F51" s="10">
        <v>43585</v>
      </c>
      <c r="G51" s="106" t="s">
        <v>195</v>
      </c>
      <c r="H51" s="22" t="s">
        <v>13</v>
      </c>
      <c r="I51" s="107">
        <v>1390.4982618771726</v>
      </c>
      <c r="J51" s="107">
        <v>621.03</v>
      </c>
      <c r="K51" s="114">
        <f t="shared" si="0"/>
        <v>0.55337592499999999</v>
      </c>
      <c r="L51" s="107">
        <v>191.66913093858636</v>
      </c>
      <c r="M51" s="114">
        <f t="shared" si="1"/>
        <v>0.13784205000000002</v>
      </c>
      <c r="N51" s="12">
        <v>192.79826187717276</v>
      </c>
      <c r="O51" s="108">
        <v>0</v>
      </c>
      <c r="P51" s="12"/>
      <c r="Q51" s="12"/>
      <c r="R51" s="13"/>
      <c r="S51" s="13"/>
      <c r="T51" s="13"/>
      <c r="U51" s="13"/>
    </row>
    <row r="52" spans="1:21" s="2" customFormat="1" ht="15.75" hidden="1" x14ac:dyDescent="0.25">
      <c r="A52" s="23"/>
      <c r="B52" s="22">
        <v>48</v>
      </c>
      <c r="C52" s="89" t="s">
        <v>41</v>
      </c>
      <c r="D52" s="89" t="s">
        <v>26</v>
      </c>
      <c r="E52" s="89" t="s">
        <v>92</v>
      </c>
      <c r="F52" s="10">
        <v>43543</v>
      </c>
      <c r="G52" s="106" t="s">
        <v>27</v>
      </c>
      <c r="H52" s="22" t="s">
        <v>19</v>
      </c>
      <c r="I52" s="107">
        <v>7243.1804991294248</v>
      </c>
      <c r="J52" s="107">
        <v>3453.39</v>
      </c>
      <c r="K52" s="114">
        <f t="shared" si="0"/>
        <v>0.52322187740384618</v>
      </c>
      <c r="L52" s="107">
        <v>830.2702495647128</v>
      </c>
      <c r="M52" s="114">
        <f t="shared" si="1"/>
        <v>0.11462785576923079</v>
      </c>
      <c r="N52" s="12">
        <v>474.88049912942552</v>
      </c>
      <c r="O52" s="108">
        <v>0</v>
      </c>
      <c r="P52" s="12"/>
      <c r="Q52" s="12"/>
      <c r="R52" s="13"/>
      <c r="S52" s="13"/>
      <c r="T52" s="13"/>
      <c r="U52" s="13"/>
    </row>
    <row r="53" spans="1:21" s="2" customFormat="1" ht="15.75" hidden="1" x14ac:dyDescent="0.25">
      <c r="A53" s="23"/>
      <c r="B53" s="22">
        <v>49</v>
      </c>
      <c r="C53" s="89" t="s">
        <v>44</v>
      </c>
      <c r="D53" s="89" t="s">
        <v>33</v>
      </c>
      <c r="E53" s="89" t="s">
        <v>92</v>
      </c>
      <c r="F53" s="10">
        <v>43565</v>
      </c>
      <c r="G53" s="89" t="s">
        <v>196</v>
      </c>
      <c r="H53" s="22" t="s">
        <v>14</v>
      </c>
      <c r="I53" s="107">
        <v>6193.27</v>
      </c>
      <c r="J53" s="107">
        <v>2418.5</v>
      </c>
      <c r="K53" s="114">
        <f t="shared" si="0"/>
        <v>0.60949546846819214</v>
      </c>
      <c r="L53" s="107">
        <f>793.64+50</f>
        <v>843.64</v>
      </c>
      <c r="M53" s="114">
        <f t="shared" si="1"/>
        <v>0.13621883108600141</v>
      </c>
      <c r="N53" s="12">
        <v>579.27</v>
      </c>
      <c r="O53" s="108">
        <v>50</v>
      </c>
      <c r="P53" s="12"/>
      <c r="Q53" s="12"/>
      <c r="R53" s="13"/>
      <c r="S53" s="13"/>
      <c r="T53" s="13"/>
      <c r="U53" s="13"/>
    </row>
    <row r="54" spans="1:21" s="2" customFormat="1" ht="15.75" hidden="1" x14ac:dyDescent="0.25">
      <c r="A54" s="23"/>
      <c r="B54" s="22">
        <v>50</v>
      </c>
      <c r="C54" s="89" t="s">
        <v>28</v>
      </c>
      <c r="D54" s="89" t="s">
        <v>33</v>
      </c>
      <c r="E54" s="89" t="s">
        <v>446</v>
      </c>
      <c r="F54" s="10">
        <v>43505</v>
      </c>
      <c r="G54" s="89" t="s">
        <v>197</v>
      </c>
      <c r="H54" s="22" t="s">
        <v>16</v>
      </c>
      <c r="I54" s="90">
        <v>8469.99</v>
      </c>
      <c r="J54" s="90">
        <v>3977.71</v>
      </c>
      <c r="K54" s="114">
        <f t="shared" si="0"/>
        <v>0.53037606892097866</v>
      </c>
      <c r="L54" s="107">
        <v>958.15</v>
      </c>
      <c r="M54" s="114">
        <f t="shared" si="1"/>
        <v>0.1131229198617708</v>
      </c>
      <c r="N54" s="12">
        <v>347.89</v>
      </c>
      <c r="O54" s="108">
        <v>0</v>
      </c>
      <c r="P54" s="12"/>
      <c r="Q54" s="12"/>
      <c r="R54" s="13"/>
      <c r="S54" s="13"/>
      <c r="T54" s="13"/>
      <c r="U54" s="13"/>
    </row>
    <row r="55" spans="1:21" s="2" customFormat="1" ht="15.75" hidden="1" x14ac:dyDescent="0.25">
      <c r="A55" s="23"/>
      <c r="B55" s="22">
        <v>51</v>
      </c>
      <c r="C55" s="89" t="s">
        <v>28</v>
      </c>
      <c r="D55" s="89" t="s">
        <v>146</v>
      </c>
      <c r="E55" s="89" t="s">
        <v>144</v>
      </c>
      <c r="F55" s="10">
        <v>43512</v>
      </c>
      <c r="G55" s="89" t="s">
        <v>198</v>
      </c>
      <c r="H55" s="22" t="s">
        <v>18</v>
      </c>
      <c r="I55" s="107">
        <v>23636.62</v>
      </c>
      <c r="J55" s="107">
        <v>12977.24</v>
      </c>
      <c r="K55" s="114">
        <f t="shared" si="0"/>
        <v>0.45096887795293911</v>
      </c>
      <c r="L55" s="107">
        <v>2241.4699999999998</v>
      </c>
      <c r="M55" s="114">
        <f t="shared" si="1"/>
        <v>9.4830394531874682E-2</v>
      </c>
      <c r="N55" s="12">
        <v>279.02</v>
      </c>
      <c r="O55" s="108">
        <v>0</v>
      </c>
      <c r="P55" s="12" t="s">
        <v>199</v>
      </c>
      <c r="Q55" s="12"/>
      <c r="R55" s="13"/>
      <c r="S55" s="13"/>
      <c r="T55" s="13"/>
      <c r="U55" s="13"/>
    </row>
    <row r="56" spans="1:21" s="2" customFormat="1" ht="15.75" hidden="1" x14ac:dyDescent="0.25">
      <c r="A56" s="23"/>
      <c r="B56" s="22">
        <v>52</v>
      </c>
      <c r="C56" s="89" t="s">
        <v>28</v>
      </c>
      <c r="D56" s="89" t="s">
        <v>146</v>
      </c>
      <c r="E56" s="89" t="s">
        <v>144</v>
      </c>
      <c r="F56" s="10">
        <v>43521</v>
      </c>
      <c r="G56" s="89" t="s">
        <v>200</v>
      </c>
      <c r="H56" s="22" t="s">
        <v>18</v>
      </c>
      <c r="I56" s="107">
        <v>39424.83</v>
      </c>
      <c r="J56" s="107">
        <v>21153.29</v>
      </c>
      <c r="K56" s="114">
        <f t="shared" si="0"/>
        <v>0.46345260081020007</v>
      </c>
      <c r="L56" s="107">
        <v>4003.26</v>
      </c>
      <c r="M56" s="114">
        <f t="shared" si="1"/>
        <v>0.10154159193584347</v>
      </c>
      <c r="N56" s="12">
        <v>1675.23</v>
      </c>
      <c r="O56" s="108">
        <v>0</v>
      </c>
      <c r="P56" s="12" t="s">
        <v>199</v>
      </c>
      <c r="Q56" s="12"/>
      <c r="R56" s="13"/>
      <c r="S56" s="13"/>
      <c r="T56" s="13"/>
      <c r="U56" s="13"/>
    </row>
    <row r="57" spans="1:21" s="2" customFormat="1" ht="15.75" hidden="1" x14ac:dyDescent="0.25">
      <c r="A57" s="23"/>
      <c r="B57" s="22">
        <v>53</v>
      </c>
      <c r="C57" s="89" t="s">
        <v>80</v>
      </c>
      <c r="D57" s="89" t="s">
        <v>26</v>
      </c>
      <c r="E57" s="89" t="s">
        <v>15</v>
      </c>
      <c r="F57" s="10">
        <v>43544</v>
      </c>
      <c r="G57" s="89" t="s">
        <v>201</v>
      </c>
      <c r="H57" s="22" t="s">
        <v>14</v>
      </c>
      <c r="I57" s="107">
        <v>6812.1</v>
      </c>
      <c r="J57" s="107">
        <v>3001.48</v>
      </c>
      <c r="K57" s="114">
        <f t="shared" si="0"/>
        <v>0.55938990913227937</v>
      </c>
      <c r="L57" s="107">
        <f>691.45+50</f>
        <v>741.45</v>
      </c>
      <c r="M57" s="114">
        <f t="shared" si="1"/>
        <v>0.1088430880345268</v>
      </c>
      <c r="N57" s="12">
        <v>288.10000000000002</v>
      </c>
      <c r="O57" s="108">
        <v>50</v>
      </c>
      <c r="P57" s="12"/>
      <c r="Q57" s="12"/>
      <c r="R57" s="13"/>
      <c r="S57" s="13"/>
      <c r="T57" s="13"/>
      <c r="U57" s="13"/>
    </row>
    <row r="58" spans="1:21" s="2" customFormat="1" ht="15.75" hidden="1" x14ac:dyDescent="0.25">
      <c r="A58" s="23"/>
      <c r="B58" s="22">
        <v>54</v>
      </c>
      <c r="C58" s="89" t="s">
        <v>28</v>
      </c>
      <c r="D58" s="89" t="s">
        <v>146</v>
      </c>
      <c r="E58" s="89" t="s">
        <v>444</v>
      </c>
      <c r="F58" s="10">
        <v>43530</v>
      </c>
      <c r="G58" s="89" t="s">
        <v>202</v>
      </c>
      <c r="H58" s="22" t="s">
        <v>16</v>
      </c>
      <c r="I58" s="107">
        <v>11309.39</v>
      </c>
      <c r="J58" s="107">
        <v>5237.13</v>
      </c>
      <c r="K58" s="114">
        <f t="shared" si="0"/>
        <v>0.53692197368735184</v>
      </c>
      <c r="L58" s="107">
        <v>1261.21</v>
      </c>
      <c r="M58" s="114">
        <f t="shared" si="1"/>
        <v>0.11151883523337687</v>
      </c>
      <c r="N58" s="12">
        <v>430.69</v>
      </c>
      <c r="O58" s="108">
        <v>0</v>
      </c>
      <c r="P58" s="12" t="s">
        <v>203</v>
      </c>
      <c r="Q58" s="12"/>
      <c r="R58" s="13"/>
      <c r="S58" s="13"/>
      <c r="T58" s="13"/>
      <c r="U58" s="13"/>
    </row>
    <row r="59" spans="1:21" s="2" customFormat="1" ht="15.75" hidden="1" x14ac:dyDescent="0.25">
      <c r="A59" s="23"/>
      <c r="B59" s="22">
        <v>55</v>
      </c>
      <c r="C59" s="89" t="s">
        <v>41</v>
      </c>
      <c r="D59" s="89" t="s">
        <v>31</v>
      </c>
      <c r="E59" s="89" t="s">
        <v>444</v>
      </c>
      <c r="F59" s="10">
        <v>43509</v>
      </c>
      <c r="G59" s="89" t="s">
        <v>204</v>
      </c>
      <c r="H59" s="22" t="s">
        <v>16</v>
      </c>
      <c r="I59" s="90">
        <v>8861.1299999999992</v>
      </c>
      <c r="J59" s="90">
        <v>4987.84</v>
      </c>
      <c r="K59" s="91">
        <f t="shared" si="0"/>
        <v>0.43711016540779779</v>
      </c>
      <c r="L59" s="90">
        <v>726.16</v>
      </c>
      <c r="M59" s="91">
        <f t="shared" si="1"/>
        <v>8.1948916221745993E-2</v>
      </c>
      <c r="N59" s="11">
        <v>-329.87</v>
      </c>
      <c r="O59" s="92">
        <v>0</v>
      </c>
      <c r="P59" s="12" t="s">
        <v>203</v>
      </c>
      <c r="Q59" s="12"/>
      <c r="R59" s="13"/>
      <c r="S59" s="13"/>
      <c r="T59" s="13"/>
      <c r="U59" s="13"/>
    </row>
    <row r="60" spans="1:21" s="2" customFormat="1" ht="15.75" hidden="1" x14ac:dyDescent="0.25">
      <c r="A60" s="23"/>
      <c r="B60" s="22">
        <v>56</v>
      </c>
      <c r="C60" s="89" t="s">
        <v>41</v>
      </c>
      <c r="D60" s="89" t="s">
        <v>26</v>
      </c>
      <c r="E60" s="89" t="s">
        <v>92</v>
      </c>
      <c r="F60" s="10">
        <v>43577</v>
      </c>
      <c r="G60" s="89" t="s">
        <v>205</v>
      </c>
      <c r="H60" s="22" t="s">
        <v>19</v>
      </c>
      <c r="I60" s="90">
        <v>4178.76</v>
      </c>
      <c r="J60" s="90">
        <v>2060.3000000000002</v>
      </c>
      <c r="K60" s="91">
        <f t="shared" si="0"/>
        <v>0.50695900219203782</v>
      </c>
      <c r="L60" s="90">
        <v>261.82</v>
      </c>
      <c r="M60" s="91">
        <f t="shared" si="1"/>
        <v>6.265495027232959E-2</v>
      </c>
      <c r="N60" s="11">
        <v>-183.64</v>
      </c>
      <c r="O60" s="92">
        <v>0</v>
      </c>
      <c r="P60" s="12"/>
      <c r="Q60" s="12"/>
      <c r="R60" s="13"/>
      <c r="S60" s="13"/>
      <c r="T60" s="13"/>
      <c r="U60" s="13"/>
    </row>
    <row r="61" spans="1:21" s="2" customFormat="1" ht="15.75" hidden="1" x14ac:dyDescent="0.25">
      <c r="A61" s="23"/>
      <c r="B61" s="22">
        <v>57</v>
      </c>
      <c r="C61" s="89" t="s">
        <v>44</v>
      </c>
      <c r="D61" s="89" t="s">
        <v>146</v>
      </c>
      <c r="E61" s="89" t="s">
        <v>446</v>
      </c>
      <c r="F61" s="10">
        <v>43523</v>
      </c>
      <c r="G61" s="89" t="s">
        <v>206</v>
      </c>
      <c r="H61" s="22" t="s">
        <v>443</v>
      </c>
      <c r="I61" s="90">
        <v>21788.81</v>
      </c>
      <c r="J61" s="90">
        <v>10712.47</v>
      </c>
      <c r="K61" s="91">
        <f t="shared" si="0"/>
        <v>0.50834992824298353</v>
      </c>
      <c r="L61" s="90">
        <v>2240.16</v>
      </c>
      <c r="M61" s="91">
        <f t="shared" si="1"/>
        <v>0.10281240691896436</v>
      </c>
      <c r="N61" s="11">
        <v>223.21</v>
      </c>
      <c r="O61" s="92">
        <v>0</v>
      </c>
      <c r="P61" s="12"/>
      <c r="Q61" s="12"/>
      <c r="R61" s="13"/>
      <c r="S61" s="13"/>
      <c r="T61" s="13"/>
      <c r="U61" s="13"/>
    </row>
    <row r="62" spans="1:21" s="2" customFormat="1" ht="15.75" hidden="1" x14ac:dyDescent="0.25">
      <c r="A62" s="23"/>
      <c r="B62" s="22">
        <v>58</v>
      </c>
      <c r="C62" s="89" t="s">
        <v>41</v>
      </c>
      <c r="D62" s="89" t="s">
        <v>146</v>
      </c>
      <c r="E62" s="89" t="s">
        <v>446</v>
      </c>
      <c r="F62" s="10">
        <v>43524</v>
      </c>
      <c r="G62" s="89" t="s">
        <v>207</v>
      </c>
      <c r="H62" s="22" t="s">
        <v>16</v>
      </c>
      <c r="I62" s="90">
        <v>7893.21</v>
      </c>
      <c r="J62" s="90">
        <v>4292.5200000000004</v>
      </c>
      <c r="K62" s="91">
        <f t="shared" si="0"/>
        <v>0.45617562436575226</v>
      </c>
      <c r="L62" s="90">
        <v>769.44</v>
      </c>
      <c r="M62" s="91">
        <f t="shared" si="1"/>
        <v>9.7481252874305896E-2</v>
      </c>
      <c r="N62" s="11">
        <v>30.81</v>
      </c>
      <c r="O62" s="92">
        <v>0</v>
      </c>
      <c r="P62" s="12"/>
      <c r="Q62" s="12"/>
      <c r="R62" s="13"/>
      <c r="S62" s="13"/>
      <c r="T62" s="13"/>
      <c r="U62" s="13"/>
    </row>
    <row r="63" spans="1:21" s="2" customFormat="1" ht="15.75" hidden="1" x14ac:dyDescent="0.25">
      <c r="A63" s="23"/>
      <c r="B63" s="22">
        <v>59</v>
      </c>
      <c r="C63" s="89" t="s">
        <v>97</v>
      </c>
      <c r="D63" s="89" t="s">
        <v>90</v>
      </c>
      <c r="E63" s="89" t="s">
        <v>15</v>
      </c>
      <c r="F63" s="10">
        <v>43577</v>
      </c>
      <c r="G63" s="89" t="s">
        <v>208</v>
      </c>
      <c r="H63" s="22" t="s">
        <v>20</v>
      </c>
      <c r="I63" s="90">
        <v>18198.96</v>
      </c>
      <c r="J63" s="90">
        <v>7993.14</v>
      </c>
      <c r="K63" s="91">
        <f t="shared" si="0"/>
        <v>0.56079138588139099</v>
      </c>
      <c r="L63" s="90">
        <v>2045.58</v>
      </c>
      <c r="M63" s="91">
        <f t="shared" si="1"/>
        <v>0.11240092840470005</v>
      </c>
      <c r="N63" s="11">
        <v>1112.6600000000001</v>
      </c>
      <c r="O63" s="92">
        <v>0</v>
      </c>
      <c r="P63" s="12"/>
      <c r="Q63" s="12"/>
      <c r="R63" s="13"/>
      <c r="S63" s="13"/>
      <c r="T63" s="13"/>
      <c r="U63" s="13"/>
    </row>
    <row r="64" spans="1:21" s="2" customFormat="1" ht="15.75" hidden="1" x14ac:dyDescent="0.25">
      <c r="A64" s="23"/>
      <c r="B64" s="22">
        <v>60</v>
      </c>
      <c r="C64" s="89" t="s">
        <v>28</v>
      </c>
      <c r="D64" s="89" t="s">
        <v>209</v>
      </c>
      <c r="E64" s="89" t="s">
        <v>444</v>
      </c>
      <c r="F64" s="10">
        <v>43255</v>
      </c>
      <c r="G64" s="89" t="s">
        <v>210</v>
      </c>
      <c r="H64" s="22" t="s">
        <v>443</v>
      </c>
      <c r="I64" s="90">
        <v>16007.47</v>
      </c>
      <c r="J64" s="90">
        <v>9259.3799999999992</v>
      </c>
      <c r="K64" s="91">
        <f t="shared" si="0"/>
        <v>0.42155880973070703</v>
      </c>
      <c r="L64" s="90">
        <v>987.14</v>
      </c>
      <c r="M64" s="91">
        <f t="shared" si="1"/>
        <v>6.1667459005077009E-2</v>
      </c>
      <c r="N64" s="11">
        <v>-948.18</v>
      </c>
      <c r="O64" s="92">
        <v>223.77</v>
      </c>
      <c r="P64" s="12"/>
      <c r="Q64" s="12"/>
      <c r="R64" s="13"/>
      <c r="S64" s="13"/>
      <c r="T64" s="13"/>
      <c r="U64" s="13"/>
    </row>
    <row r="65" spans="1:21" s="2" customFormat="1" ht="15.75" hidden="1" x14ac:dyDescent="0.25">
      <c r="A65" s="23"/>
      <c r="B65" s="22">
        <v>61</v>
      </c>
      <c r="C65" s="89" t="s">
        <v>41</v>
      </c>
      <c r="D65" s="89" t="s">
        <v>90</v>
      </c>
      <c r="E65" s="89" t="s">
        <v>448</v>
      </c>
      <c r="F65" s="10">
        <v>43500</v>
      </c>
      <c r="G65" s="89" t="s">
        <v>211</v>
      </c>
      <c r="H65" s="22" t="s">
        <v>14</v>
      </c>
      <c r="I65" s="90">
        <v>14935.84</v>
      </c>
      <c r="J65" s="90">
        <v>9891.41</v>
      </c>
      <c r="K65" s="91">
        <f t="shared" si="0"/>
        <v>0.33773995972104687</v>
      </c>
      <c r="L65" s="90">
        <v>582.52</v>
      </c>
      <c r="M65" s="91">
        <f t="shared" si="1"/>
        <v>3.9001489035768992E-2</v>
      </c>
      <c r="N65" s="11">
        <v>-932.16</v>
      </c>
      <c r="O65" s="92">
        <v>277.24</v>
      </c>
      <c r="P65" s="12" t="s">
        <v>212</v>
      </c>
      <c r="Q65" s="12"/>
      <c r="R65" s="13"/>
      <c r="S65" s="13"/>
      <c r="T65" s="13"/>
      <c r="U65" s="13"/>
    </row>
    <row r="66" spans="1:21" s="2" customFormat="1" ht="15.75" hidden="1" x14ac:dyDescent="0.25">
      <c r="A66" s="23"/>
      <c r="B66" s="22">
        <v>62</v>
      </c>
      <c r="C66" s="89" t="s">
        <v>38</v>
      </c>
      <c r="D66" s="89" t="s">
        <v>31</v>
      </c>
      <c r="E66" s="89" t="s">
        <v>449</v>
      </c>
      <c r="F66" s="10">
        <v>43565</v>
      </c>
      <c r="G66" s="89" t="s">
        <v>213</v>
      </c>
      <c r="H66" s="22" t="s">
        <v>13</v>
      </c>
      <c r="I66" s="90">
        <v>9108.98</v>
      </c>
      <c r="J66" s="90">
        <v>4123.3100000000004</v>
      </c>
      <c r="K66" s="91">
        <f t="shared" si="0"/>
        <v>0.54733570608344728</v>
      </c>
      <c r="L66" s="90">
        <v>1212.92</v>
      </c>
      <c r="M66" s="91">
        <f t="shared" si="1"/>
        <v>0.13315651148646721</v>
      </c>
      <c r="N66" s="11">
        <v>865.92</v>
      </c>
      <c r="O66" s="92">
        <v>0</v>
      </c>
      <c r="P66" s="12"/>
      <c r="Q66" s="12"/>
      <c r="R66" s="13"/>
      <c r="S66" s="13"/>
      <c r="T66" s="13"/>
      <c r="U66" s="13"/>
    </row>
    <row r="67" spans="1:21" s="2" customFormat="1" ht="15.75" hidden="1" x14ac:dyDescent="0.25">
      <c r="A67" s="23"/>
      <c r="B67" s="22">
        <v>63</v>
      </c>
      <c r="C67" s="89" t="s">
        <v>28</v>
      </c>
      <c r="D67" s="89" t="s">
        <v>33</v>
      </c>
      <c r="E67" s="89" t="s">
        <v>444</v>
      </c>
      <c r="F67" s="10">
        <v>43566</v>
      </c>
      <c r="G67" s="89" t="s">
        <v>214</v>
      </c>
      <c r="H67" s="22" t="s">
        <v>16</v>
      </c>
      <c r="I67" s="90">
        <v>12976.13</v>
      </c>
      <c r="J67" s="90">
        <v>5769.68</v>
      </c>
      <c r="K67" s="91">
        <f t="shared" si="0"/>
        <v>0.55536203783408455</v>
      </c>
      <c r="L67" s="90">
        <v>1572.24</v>
      </c>
      <c r="M67" s="91">
        <f t="shared" si="1"/>
        <v>0.12116401423228652</v>
      </c>
      <c r="N67" s="11">
        <v>730.33</v>
      </c>
      <c r="O67" s="92">
        <v>0</v>
      </c>
      <c r="P67" s="12"/>
      <c r="Q67" s="12"/>
      <c r="R67" s="13"/>
      <c r="S67" s="13"/>
      <c r="T67" s="13"/>
      <c r="U67" s="13"/>
    </row>
    <row r="68" spans="1:21" s="2" customFormat="1" ht="15.75" hidden="1" x14ac:dyDescent="0.25">
      <c r="A68" s="23"/>
      <c r="B68" s="22">
        <v>64</v>
      </c>
      <c r="C68" s="89" t="s">
        <v>28</v>
      </c>
      <c r="D68" s="89" t="s">
        <v>26</v>
      </c>
      <c r="E68" s="89" t="s">
        <v>92</v>
      </c>
      <c r="F68" s="10">
        <v>43560</v>
      </c>
      <c r="G68" s="89" t="s">
        <v>215</v>
      </c>
      <c r="H68" s="22" t="s">
        <v>14</v>
      </c>
      <c r="I68" s="90">
        <v>5793.46</v>
      </c>
      <c r="J68" s="90">
        <v>2885.92</v>
      </c>
      <c r="K68" s="91">
        <f t="shared" si="0"/>
        <v>0.50186589706324025</v>
      </c>
      <c r="L68" s="90">
        <v>587.71</v>
      </c>
      <c r="M68" s="91">
        <f t="shared" si="1"/>
        <v>0.10144369685818147</v>
      </c>
      <c r="N68" s="11">
        <v>254.36</v>
      </c>
      <c r="O68" s="92">
        <v>0</v>
      </c>
      <c r="P68" s="12"/>
      <c r="Q68" s="12"/>
      <c r="R68" s="13"/>
      <c r="S68" s="13"/>
      <c r="T68" s="13"/>
      <c r="U68" s="13"/>
    </row>
    <row r="69" spans="1:21" s="2" customFormat="1" ht="15.75" hidden="1" x14ac:dyDescent="0.25">
      <c r="A69" s="23"/>
      <c r="B69" s="22">
        <v>65</v>
      </c>
      <c r="C69" s="89" t="s">
        <v>41</v>
      </c>
      <c r="D69" s="89" t="s">
        <v>26</v>
      </c>
      <c r="E69" s="89" t="s">
        <v>448</v>
      </c>
      <c r="F69" s="10">
        <v>43584</v>
      </c>
      <c r="G69" s="89" t="s">
        <v>216</v>
      </c>
      <c r="H69" s="22" t="s">
        <v>104</v>
      </c>
      <c r="I69" s="90">
        <v>9601.86</v>
      </c>
      <c r="J69" s="90">
        <v>3535.4</v>
      </c>
      <c r="K69" s="91">
        <f t="shared" si="0"/>
        <v>0.6318005053187612</v>
      </c>
      <c r="L69" s="90">
        <f>1275.45+50</f>
        <v>1325.45</v>
      </c>
      <c r="M69" s="91">
        <f t="shared" ref="M69:M281" si="2">L69/I69</f>
        <v>0.13804096289677209</v>
      </c>
      <c r="N69" s="11">
        <v>970.86</v>
      </c>
      <c r="O69" s="92">
        <v>50</v>
      </c>
      <c r="P69" s="12"/>
      <c r="Q69" s="12"/>
      <c r="R69" s="13"/>
      <c r="S69" s="13"/>
      <c r="T69" s="13"/>
      <c r="U69" s="13"/>
    </row>
    <row r="70" spans="1:21" s="2" customFormat="1" ht="15.75" hidden="1" x14ac:dyDescent="0.25">
      <c r="A70" s="23"/>
      <c r="B70" s="22">
        <v>66</v>
      </c>
      <c r="C70" s="89" t="s">
        <v>28</v>
      </c>
      <c r="D70" s="89" t="s">
        <v>31</v>
      </c>
      <c r="E70" s="89" t="s">
        <v>92</v>
      </c>
      <c r="F70" s="10">
        <v>43563</v>
      </c>
      <c r="G70" s="89" t="s">
        <v>49</v>
      </c>
      <c r="H70" s="22" t="s">
        <v>21</v>
      </c>
      <c r="I70" s="90">
        <v>15067.44</v>
      </c>
      <c r="J70" s="90">
        <v>7268.28</v>
      </c>
      <c r="K70" s="91">
        <f t="shared" si="0"/>
        <v>0.51761679489017376</v>
      </c>
      <c r="L70" s="90">
        <v>1807.3</v>
      </c>
      <c r="M70" s="91">
        <f t="shared" si="2"/>
        <v>0.11994738323165713</v>
      </c>
      <c r="N70" s="11">
        <v>917.64</v>
      </c>
      <c r="O70" s="92">
        <v>0</v>
      </c>
      <c r="P70" s="12"/>
      <c r="Q70" s="12"/>
      <c r="R70" s="13"/>
      <c r="S70" s="13"/>
      <c r="T70" s="13"/>
      <c r="U70" s="13"/>
    </row>
    <row r="71" spans="1:21" s="2" customFormat="1" ht="15.75" hidden="1" x14ac:dyDescent="0.25">
      <c r="A71" s="23"/>
      <c r="B71" s="22">
        <v>67</v>
      </c>
      <c r="C71" s="89" t="s">
        <v>28</v>
      </c>
      <c r="D71" s="89" t="s">
        <v>33</v>
      </c>
      <c r="E71" s="89" t="s">
        <v>15</v>
      </c>
      <c r="F71" s="10">
        <v>43596</v>
      </c>
      <c r="G71" s="89" t="s">
        <v>217</v>
      </c>
      <c r="H71" s="22" t="s">
        <v>13</v>
      </c>
      <c r="I71" s="90">
        <v>16562.689999999999</v>
      </c>
      <c r="J71" s="90">
        <v>6630.69</v>
      </c>
      <c r="K71" s="91">
        <f t="shared" si="0"/>
        <v>0.59966104539781884</v>
      </c>
      <c r="L71" s="90">
        <v>2275.4299999999998</v>
      </c>
      <c r="M71" s="91">
        <f t="shared" si="2"/>
        <v>0.13738287681529993</v>
      </c>
      <c r="N71" s="11">
        <v>1749.15</v>
      </c>
      <c r="O71" s="92">
        <v>0</v>
      </c>
      <c r="P71" s="12"/>
      <c r="Q71" s="12"/>
      <c r="R71" s="13"/>
      <c r="S71" s="13"/>
      <c r="T71" s="13"/>
      <c r="U71" s="13"/>
    </row>
    <row r="72" spans="1:21" s="2" customFormat="1" ht="15.75" hidden="1" x14ac:dyDescent="0.25">
      <c r="A72" s="23"/>
      <c r="B72" s="22">
        <v>68</v>
      </c>
      <c r="C72" s="89" t="s">
        <v>218</v>
      </c>
      <c r="D72" s="89" t="s">
        <v>31</v>
      </c>
      <c r="E72" s="89" t="s">
        <v>449</v>
      </c>
      <c r="F72" s="10">
        <v>43545</v>
      </c>
      <c r="G72" s="89" t="s">
        <v>219</v>
      </c>
      <c r="H72" s="22" t="s">
        <v>13</v>
      </c>
      <c r="I72" s="90">
        <v>9490.01</v>
      </c>
      <c r="J72" s="90">
        <v>4501.78</v>
      </c>
      <c r="K72" s="91">
        <f t="shared" si="0"/>
        <v>0.52562958310897467</v>
      </c>
      <c r="L72" s="90">
        <f>710.91+50</f>
        <v>760.91</v>
      </c>
      <c r="M72" s="91">
        <f t="shared" si="2"/>
        <v>8.018010518429379E-2</v>
      </c>
      <c r="N72" s="11">
        <v>-291.08999999999997</v>
      </c>
      <c r="O72" s="92">
        <v>50</v>
      </c>
      <c r="P72" s="12"/>
      <c r="Q72" s="12"/>
      <c r="R72" s="13"/>
      <c r="S72" s="13"/>
      <c r="T72" s="13"/>
      <c r="U72" s="13"/>
    </row>
    <row r="73" spans="1:21" s="2" customFormat="1" ht="15.75" hidden="1" x14ac:dyDescent="0.25">
      <c r="A73" s="23"/>
      <c r="B73" s="22">
        <v>69</v>
      </c>
      <c r="C73" s="89" t="s">
        <v>41</v>
      </c>
      <c r="D73" s="89" t="s">
        <v>146</v>
      </c>
      <c r="E73" s="89" t="s">
        <v>449</v>
      </c>
      <c r="F73" s="10">
        <v>43579</v>
      </c>
      <c r="G73" s="89" t="s">
        <v>220</v>
      </c>
      <c r="H73" s="22" t="s">
        <v>20</v>
      </c>
      <c r="I73" s="90">
        <v>11468.37</v>
      </c>
      <c r="J73" s="90">
        <v>5717.87</v>
      </c>
      <c r="K73" s="91">
        <f t="shared" si="0"/>
        <v>0.50142260844392017</v>
      </c>
      <c r="L73" s="90">
        <v>1286.52</v>
      </c>
      <c r="M73" s="91">
        <f t="shared" si="2"/>
        <v>0.11217984770285576</v>
      </c>
      <c r="N73" s="11">
        <v>466.47</v>
      </c>
      <c r="O73" s="92">
        <v>0</v>
      </c>
      <c r="P73" s="12" t="s">
        <v>221</v>
      </c>
      <c r="Q73" s="12"/>
      <c r="R73" s="13"/>
      <c r="S73" s="13"/>
      <c r="T73" s="13"/>
      <c r="U73" s="13"/>
    </row>
    <row r="74" spans="1:21" s="2" customFormat="1" ht="15.75" hidden="1" x14ac:dyDescent="0.25">
      <c r="A74" s="23"/>
      <c r="B74" s="22">
        <v>70</v>
      </c>
      <c r="C74" s="89" t="s">
        <v>57</v>
      </c>
      <c r="D74" s="89" t="s">
        <v>146</v>
      </c>
      <c r="E74" s="89" t="s">
        <v>446</v>
      </c>
      <c r="F74" s="10">
        <v>43542</v>
      </c>
      <c r="G74" s="89" t="s">
        <v>222</v>
      </c>
      <c r="H74" s="22" t="s">
        <v>18</v>
      </c>
      <c r="I74" s="90">
        <v>30510.87</v>
      </c>
      <c r="J74" s="90">
        <v>21293.57</v>
      </c>
      <c r="K74" s="91">
        <f t="shared" si="0"/>
        <v>0.30209889131316148</v>
      </c>
      <c r="L74" s="90">
        <v>2171.54</v>
      </c>
      <c r="M74" s="91">
        <f t="shared" si="2"/>
        <v>7.1172667314960206E-2</v>
      </c>
      <c r="N74" s="11">
        <v>-1411.03</v>
      </c>
      <c r="O74" s="92">
        <v>0</v>
      </c>
      <c r="P74" s="12" t="s">
        <v>223</v>
      </c>
      <c r="Q74" s="12"/>
      <c r="R74" s="13"/>
      <c r="S74" s="13"/>
      <c r="T74" s="13"/>
      <c r="U74" s="13"/>
    </row>
    <row r="75" spans="1:21" s="2" customFormat="1" ht="15.75" hidden="1" x14ac:dyDescent="0.25">
      <c r="A75" s="23"/>
      <c r="B75" s="22">
        <v>71</v>
      </c>
      <c r="C75" s="89" t="s">
        <v>45</v>
      </c>
      <c r="D75" s="89" t="s">
        <v>90</v>
      </c>
      <c r="E75" s="89" t="s">
        <v>449</v>
      </c>
      <c r="F75" s="10">
        <v>43582</v>
      </c>
      <c r="G75" s="89" t="s">
        <v>46</v>
      </c>
      <c r="H75" s="22" t="s">
        <v>20</v>
      </c>
      <c r="I75" s="90">
        <v>7706.46</v>
      </c>
      <c r="J75" s="90">
        <v>4017.06</v>
      </c>
      <c r="K75" s="91">
        <f t="shared" ref="K75:K281" si="3">(I75-J75)/I75</f>
        <v>0.4787412119183127</v>
      </c>
      <c r="L75" s="90">
        <v>727.73</v>
      </c>
      <c r="M75" s="91">
        <f t="shared" si="2"/>
        <v>9.4431165541636497E-2</v>
      </c>
      <c r="N75" s="11">
        <v>54.76</v>
      </c>
      <c r="O75" s="92">
        <v>0</v>
      </c>
      <c r="P75" s="12" t="s">
        <v>224</v>
      </c>
      <c r="Q75" s="12"/>
      <c r="R75" s="13"/>
      <c r="S75" s="13"/>
      <c r="T75" s="13"/>
      <c r="U75" s="13"/>
    </row>
    <row r="76" spans="1:21" s="2" customFormat="1" ht="15.75" hidden="1" x14ac:dyDescent="0.25">
      <c r="A76" s="23"/>
      <c r="B76" s="22">
        <v>72</v>
      </c>
      <c r="C76" s="89" t="s">
        <v>28</v>
      </c>
      <c r="D76" s="89" t="s">
        <v>31</v>
      </c>
      <c r="E76" s="89" t="s">
        <v>92</v>
      </c>
      <c r="F76" s="10">
        <v>43581</v>
      </c>
      <c r="G76" s="89" t="s">
        <v>225</v>
      </c>
      <c r="H76" s="22" t="s">
        <v>14</v>
      </c>
      <c r="I76" s="90">
        <v>10640.52</v>
      </c>
      <c r="J76" s="90">
        <v>4875.9799999999996</v>
      </c>
      <c r="K76" s="91">
        <f t="shared" si="3"/>
        <v>0.54175359850834359</v>
      </c>
      <c r="L76" s="90">
        <v>1278.74</v>
      </c>
      <c r="M76" s="91">
        <f t="shared" si="2"/>
        <v>0.12017645754154872</v>
      </c>
      <c r="N76" s="11">
        <v>641.72</v>
      </c>
      <c r="O76" s="92">
        <v>0</v>
      </c>
      <c r="P76" s="12"/>
      <c r="Q76" s="12"/>
      <c r="R76" s="13"/>
      <c r="S76" s="13"/>
      <c r="T76" s="13"/>
      <c r="U76" s="13"/>
    </row>
    <row r="77" spans="1:21" s="2" customFormat="1" ht="15.75" hidden="1" x14ac:dyDescent="0.25">
      <c r="A77" s="23"/>
      <c r="B77" s="22">
        <v>73</v>
      </c>
      <c r="C77" s="89" t="s">
        <v>28</v>
      </c>
      <c r="D77" s="89" t="s">
        <v>33</v>
      </c>
      <c r="E77" s="89" t="s">
        <v>444</v>
      </c>
      <c r="F77" s="10">
        <v>43570</v>
      </c>
      <c r="G77" s="89" t="s">
        <v>226</v>
      </c>
      <c r="H77" s="22" t="s">
        <v>16</v>
      </c>
      <c r="I77" s="90">
        <v>7415.99</v>
      </c>
      <c r="J77" s="90">
        <v>3221.2</v>
      </c>
      <c r="K77" s="91">
        <f t="shared" si="3"/>
        <v>0.56564126974281248</v>
      </c>
      <c r="L77" s="90">
        <v>852.28</v>
      </c>
      <c r="M77" s="91">
        <f t="shared" si="2"/>
        <v>0.1149246425628945</v>
      </c>
      <c r="N77" s="11">
        <v>384.49</v>
      </c>
      <c r="O77" s="92">
        <v>0</v>
      </c>
      <c r="P77" s="12"/>
      <c r="Q77" s="12"/>
      <c r="R77" s="13"/>
      <c r="S77" s="13"/>
      <c r="T77" s="13"/>
      <c r="U77" s="13"/>
    </row>
    <row r="78" spans="1:21" s="2" customFormat="1" ht="15.75" hidden="1" x14ac:dyDescent="0.25">
      <c r="A78" s="23"/>
      <c r="B78" s="22">
        <v>74</v>
      </c>
      <c r="C78" s="89" t="s">
        <v>28</v>
      </c>
      <c r="D78" s="89" t="s">
        <v>26</v>
      </c>
      <c r="E78" s="89" t="s">
        <v>448</v>
      </c>
      <c r="F78" s="10">
        <v>43540</v>
      </c>
      <c r="G78" s="89" t="s">
        <v>227</v>
      </c>
      <c r="H78" s="22" t="s">
        <v>14</v>
      </c>
      <c r="I78" s="90">
        <v>19698.73</v>
      </c>
      <c r="J78" s="90">
        <v>8064.88</v>
      </c>
      <c r="K78" s="91">
        <f t="shared" si="3"/>
        <v>0.59058883491473813</v>
      </c>
      <c r="L78" s="90">
        <v>2046.88</v>
      </c>
      <c r="M78" s="91">
        <f t="shared" si="2"/>
        <v>0.10390923678836149</v>
      </c>
      <c r="N78" s="11">
        <v>959.03</v>
      </c>
      <c r="O78" s="92">
        <v>0</v>
      </c>
      <c r="P78" s="12"/>
      <c r="Q78" s="12"/>
      <c r="R78" s="13"/>
      <c r="S78" s="13"/>
      <c r="T78" s="13"/>
      <c r="U78" s="13"/>
    </row>
    <row r="79" spans="1:21" s="2" customFormat="1" ht="15.75" hidden="1" x14ac:dyDescent="0.25">
      <c r="A79" s="23"/>
      <c r="B79" s="22">
        <v>75</v>
      </c>
      <c r="C79" s="89" t="s">
        <v>28</v>
      </c>
      <c r="D79" s="89" t="s">
        <v>31</v>
      </c>
      <c r="E79" s="89" t="s">
        <v>92</v>
      </c>
      <c r="F79" s="10">
        <v>43564</v>
      </c>
      <c r="G79" s="89" t="s">
        <v>228</v>
      </c>
      <c r="H79" s="22" t="s">
        <v>21</v>
      </c>
      <c r="I79" s="90">
        <v>14770.8</v>
      </c>
      <c r="J79" s="90">
        <v>8060.81</v>
      </c>
      <c r="K79" s="91">
        <f t="shared" si="3"/>
        <v>0.45427397297370481</v>
      </c>
      <c r="L79" s="90">
        <v>1538.44</v>
      </c>
      <c r="M79" s="91">
        <f t="shared" si="2"/>
        <v>0.10415414195575054</v>
      </c>
      <c r="N79" s="11">
        <v>258.39999999999998</v>
      </c>
      <c r="O79" s="92">
        <v>0</v>
      </c>
      <c r="P79" s="12" t="s">
        <v>229</v>
      </c>
      <c r="Q79" s="12"/>
      <c r="R79" s="13"/>
      <c r="S79" s="13"/>
      <c r="T79" s="13"/>
      <c r="U79" s="13"/>
    </row>
    <row r="80" spans="1:21" s="2" customFormat="1" ht="15.75" hidden="1" x14ac:dyDescent="0.25">
      <c r="A80" s="23"/>
      <c r="B80" s="22">
        <v>76</v>
      </c>
      <c r="C80" s="89" t="s">
        <v>28</v>
      </c>
      <c r="D80" s="89" t="s">
        <v>90</v>
      </c>
      <c r="E80" s="89" t="s">
        <v>449</v>
      </c>
      <c r="F80" s="10">
        <v>43618</v>
      </c>
      <c r="G80" s="89" t="s">
        <v>230</v>
      </c>
      <c r="H80" s="22" t="s">
        <v>20</v>
      </c>
      <c r="I80" s="90">
        <v>10196.99</v>
      </c>
      <c r="J80" s="90">
        <v>5239.6400000000003</v>
      </c>
      <c r="K80" s="91">
        <f t="shared" si="3"/>
        <v>0.48615817020512914</v>
      </c>
      <c r="L80" s="90">
        <v>995.79</v>
      </c>
      <c r="M80" s="91">
        <f t="shared" si="2"/>
        <v>9.7655288472382529E-2</v>
      </c>
      <c r="N80" s="11">
        <v>11.99</v>
      </c>
      <c r="O80" s="92">
        <v>0</v>
      </c>
      <c r="P80" s="12"/>
      <c r="Q80" s="12"/>
      <c r="R80" s="13"/>
      <c r="S80" s="13"/>
      <c r="T80" s="13"/>
      <c r="U80" s="13"/>
    </row>
    <row r="81" spans="1:21" s="2" customFormat="1" ht="15.75" hidden="1" x14ac:dyDescent="0.25">
      <c r="A81" s="23"/>
      <c r="B81" s="22">
        <v>77</v>
      </c>
      <c r="C81" s="89" t="s">
        <v>28</v>
      </c>
      <c r="D81" s="89" t="s">
        <v>31</v>
      </c>
      <c r="E81" s="89" t="s">
        <v>92</v>
      </c>
      <c r="F81" s="10">
        <v>43571</v>
      </c>
      <c r="G81" s="89" t="s">
        <v>231</v>
      </c>
      <c r="H81" s="22" t="s">
        <v>14</v>
      </c>
      <c r="I81" s="90">
        <v>14628.04</v>
      </c>
      <c r="J81" s="90">
        <v>7598.02</v>
      </c>
      <c r="K81" s="91">
        <f t="shared" si="3"/>
        <v>0.48058523219788846</v>
      </c>
      <c r="L81" s="90">
        <v>1291.53</v>
      </c>
      <c r="M81" s="91">
        <f t="shared" si="2"/>
        <v>8.8291391054440643E-2</v>
      </c>
      <c r="N81" s="11">
        <v>-293.44</v>
      </c>
      <c r="O81" s="92">
        <v>0</v>
      </c>
      <c r="P81" s="12"/>
      <c r="Q81" s="12"/>
      <c r="R81" s="13"/>
      <c r="S81" s="13"/>
      <c r="T81" s="13"/>
      <c r="U81" s="13"/>
    </row>
    <row r="82" spans="1:21" s="2" customFormat="1" ht="15.75" hidden="1" x14ac:dyDescent="0.25">
      <c r="A82" s="23"/>
      <c r="B82" s="22">
        <v>78</v>
      </c>
      <c r="C82" s="89" t="s">
        <v>28</v>
      </c>
      <c r="D82" s="89" t="s">
        <v>31</v>
      </c>
      <c r="E82" s="89" t="s">
        <v>92</v>
      </c>
      <c r="F82" s="10">
        <v>43538</v>
      </c>
      <c r="G82" s="89" t="s">
        <v>232</v>
      </c>
      <c r="H82" s="22" t="s">
        <v>14</v>
      </c>
      <c r="I82" s="90">
        <v>13798.38</v>
      </c>
      <c r="J82" s="90">
        <v>6073.14</v>
      </c>
      <c r="K82" s="91">
        <f t="shared" si="3"/>
        <v>0.55986572336752571</v>
      </c>
      <c r="L82" s="90">
        <v>1552.03</v>
      </c>
      <c r="M82" s="91">
        <f t="shared" si="2"/>
        <v>0.11247914610265844</v>
      </c>
      <c r="N82" s="11">
        <v>535.48</v>
      </c>
      <c r="O82" s="92">
        <v>0</v>
      </c>
      <c r="P82" s="12"/>
      <c r="Q82" s="12"/>
      <c r="R82" s="13"/>
      <c r="S82" s="13"/>
      <c r="T82" s="13"/>
      <c r="U82" s="13"/>
    </row>
    <row r="83" spans="1:21" s="2" customFormat="1" ht="15.75" hidden="1" x14ac:dyDescent="0.25">
      <c r="A83" s="23"/>
      <c r="B83" s="22">
        <v>79</v>
      </c>
      <c r="C83" s="89" t="s">
        <v>28</v>
      </c>
      <c r="D83" s="89" t="s">
        <v>146</v>
      </c>
      <c r="E83" s="89" t="s">
        <v>446</v>
      </c>
      <c r="F83" s="10">
        <v>43544</v>
      </c>
      <c r="G83" s="89" t="s">
        <v>233</v>
      </c>
      <c r="H83" s="22" t="s">
        <v>443</v>
      </c>
      <c r="I83" s="90">
        <v>20347.62</v>
      </c>
      <c r="J83" s="90">
        <v>10634.83</v>
      </c>
      <c r="K83" s="91">
        <f t="shared" si="3"/>
        <v>0.47734280471131263</v>
      </c>
      <c r="L83" s="90">
        <v>2172.5300000000002</v>
      </c>
      <c r="M83" s="91">
        <f t="shared" si="2"/>
        <v>0.10677071814787185</v>
      </c>
      <c r="N83" s="11">
        <v>659.42</v>
      </c>
      <c r="O83" s="92">
        <v>0</v>
      </c>
      <c r="P83" s="12"/>
      <c r="Q83" s="12"/>
      <c r="R83" s="13"/>
      <c r="S83" s="13"/>
      <c r="T83" s="13"/>
      <c r="U83" s="13"/>
    </row>
    <row r="84" spans="1:21" s="2" customFormat="1" ht="15.75" hidden="1" x14ac:dyDescent="0.25">
      <c r="A84" s="23"/>
      <c r="B84" s="22">
        <v>80</v>
      </c>
      <c r="C84" s="89" t="s">
        <v>41</v>
      </c>
      <c r="D84" s="89" t="s">
        <v>146</v>
      </c>
      <c r="E84" s="89" t="s">
        <v>444</v>
      </c>
      <c r="F84" s="10">
        <v>43584</v>
      </c>
      <c r="G84" s="89" t="s">
        <v>234</v>
      </c>
      <c r="H84" s="22" t="s">
        <v>16</v>
      </c>
      <c r="I84" s="90">
        <v>12443.41</v>
      </c>
      <c r="J84" s="90">
        <v>5909.77</v>
      </c>
      <c r="K84" s="91">
        <f t="shared" si="3"/>
        <v>0.52506828915867909</v>
      </c>
      <c r="L84" s="90">
        <v>1594.71</v>
      </c>
      <c r="M84" s="91">
        <f t="shared" si="2"/>
        <v>0.12815699233570219</v>
      </c>
      <c r="N84" s="11">
        <v>1139.1099999999999</v>
      </c>
      <c r="O84" s="92">
        <v>0</v>
      </c>
      <c r="P84" s="12"/>
      <c r="Q84" s="12"/>
      <c r="R84" s="13"/>
      <c r="S84" s="13"/>
      <c r="T84" s="13"/>
      <c r="U84" s="13"/>
    </row>
    <row r="85" spans="1:21" s="2" customFormat="1" ht="15.75" hidden="1" x14ac:dyDescent="0.25">
      <c r="A85" s="23"/>
      <c r="B85" s="22">
        <v>81</v>
      </c>
      <c r="C85" s="89" t="s">
        <v>28</v>
      </c>
      <c r="D85" s="89" t="s">
        <v>26</v>
      </c>
      <c r="E85" s="89" t="s">
        <v>448</v>
      </c>
      <c r="F85" s="10">
        <v>43644</v>
      </c>
      <c r="G85" s="89" t="s">
        <v>235</v>
      </c>
      <c r="H85" s="22" t="s">
        <v>14</v>
      </c>
      <c r="I85" s="90">
        <v>3244.5</v>
      </c>
      <c r="J85" s="90">
        <v>962.82</v>
      </c>
      <c r="K85" s="91">
        <f t="shared" si="3"/>
        <v>0.70324549237170586</v>
      </c>
      <c r="L85" s="90">
        <v>669.83</v>
      </c>
      <c r="M85" s="91">
        <f t="shared" si="2"/>
        <v>0.20645091693635384</v>
      </c>
      <c r="N85" s="11">
        <v>924.7</v>
      </c>
      <c r="O85" s="92">
        <v>0</v>
      </c>
      <c r="P85" s="12" t="s">
        <v>236</v>
      </c>
      <c r="Q85" s="12"/>
      <c r="R85" s="13"/>
      <c r="S85" s="13"/>
      <c r="T85" s="13"/>
      <c r="U85" s="13"/>
    </row>
    <row r="86" spans="1:21" s="2" customFormat="1" ht="15.75" hidden="1" x14ac:dyDescent="0.25">
      <c r="A86" s="23"/>
      <c r="B86" s="22">
        <v>82</v>
      </c>
      <c r="C86" s="117" t="s">
        <v>28</v>
      </c>
      <c r="D86" s="89" t="s">
        <v>31</v>
      </c>
      <c r="E86" s="89" t="s">
        <v>15</v>
      </c>
      <c r="F86" s="10">
        <v>43239</v>
      </c>
      <c r="G86" s="89" t="s">
        <v>237</v>
      </c>
      <c r="H86" s="22" t="s">
        <v>20</v>
      </c>
      <c r="I86" s="90">
        <v>46500.71</v>
      </c>
      <c r="J86" s="90">
        <v>22937.17</v>
      </c>
      <c r="K86" s="91">
        <f t="shared" si="3"/>
        <v>0.50673505845394617</v>
      </c>
      <c r="L86" s="90">
        <f>4497+400</f>
        <v>4897</v>
      </c>
      <c r="M86" s="91">
        <f t="shared" si="2"/>
        <v>0.1053102199944904</v>
      </c>
      <c r="N86" s="11">
        <v>320.83999999999997</v>
      </c>
      <c r="O86" s="92">
        <v>400</v>
      </c>
      <c r="P86" s="12"/>
      <c r="Q86" s="12"/>
      <c r="R86" s="13"/>
      <c r="S86" s="13"/>
      <c r="T86" s="13"/>
      <c r="U86" s="13"/>
    </row>
    <row r="87" spans="1:21" s="2" customFormat="1" ht="15.75" hidden="1" x14ac:dyDescent="0.25">
      <c r="A87" s="23"/>
      <c r="B87" s="22">
        <v>83</v>
      </c>
      <c r="C87" s="89" t="s">
        <v>28</v>
      </c>
      <c r="D87" s="89" t="s">
        <v>90</v>
      </c>
      <c r="E87" s="89" t="s">
        <v>444</v>
      </c>
      <c r="F87" s="10">
        <v>43563</v>
      </c>
      <c r="G87" s="89" t="s">
        <v>238</v>
      </c>
      <c r="H87" s="22" t="s">
        <v>16</v>
      </c>
      <c r="I87" s="90">
        <v>11131.4</v>
      </c>
      <c r="J87" s="90">
        <v>5477.28</v>
      </c>
      <c r="K87" s="91">
        <f t="shared" si="3"/>
        <v>0.50794329554233975</v>
      </c>
      <c r="L87" s="90">
        <f>968.66+200</f>
        <v>1168.6599999999999</v>
      </c>
      <c r="M87" s="91">
        <f t="shared" si="2"/>
        <v>0.1049876924735433</v>
      </c>
      <c r="N87" s="11">
        <v>-291.2</v>
      </c>
      <c r="O87" s="92">
        <v>200</v>
      </c>
      <c r="P87" s="12"/>
      <c r="Q87" s="12"/>
      <c r="R87" s="13"/>
      <c r="S87" s="13"/>
      <c r="T87" s="13"/>
      <c r="U87" s="13"/>
    </row>
    <row r="88" spans="1:21" s="2" customFormat="1" ht="15.75" hidden="1" x14ac:dyDescent="0.25">
      <c r="A88" s="23"/>
      <c r="B88" s="22">
        <v>84</v>
      </c>
      <c r="C88" s="89" t="s">
        <v>41</v>
      </c>
      <c r="D88" s="89" t="s">
        <v>146</v>
      </c>
      <c r="E88" s="89" t="s">
        <v>444</v>
      </c>
      <c r="F88" s="10">
        <v>43591</v>
      </c>
      <c r="G88" s="89" t="s">
        <v>195</v>
      </c>
      <c r="H88" s="22" t="s">
        <v>16</v>
      </c>
      <c r="I88" s="90">
        <v>13000.58</v>
      </c>
      <c r="J88" s="90">
        <v>5566.01</v>
      </c>
      <c r="K88" s="91">
        <f t="shared" si="3"/>
        <v>0.57186448604600715</v>
      </c>
      <c r="L88" s="90">
        <f>1360.05+100</f>
        <v>1460.05</v>
      </c>
      <c r="M88" s="91">
        <f t="shared" si="2"/>
        <v>0.11230652786260305</v>
      </c>
      <c r="N88" s="11">
        <v>525.17999999999995</v>
      </c>
      <c r="O88" s="92">
        <v>100</v>
      </c>
      <c r="P88" s="12"/>
      <c r="Q88" s="12"/>
      <c r="R88" s="13"/>
      <c r="S88" s="13"/>
      <c r="T88" s="13"/>
      <c r="U88" s="13"/>
    </row>
    <row r="89" spans="1:21" s="2" customFormat="1" ht="15.75" hidden="1" x14ac:dyDescent="0.25">
      <c r="A89" s="23"/>
      <c r="B89" s="22">
        <v>85</v>
      </c>
      <c r="C89" s="89" t="s">
        <v>28</v>
      </c>
      <c r="D89" s="89" t="s">
        <v>33</v>
      </c>
      <c r="E89" s="89" t="s">
        <v>444</v>
      </c>
      <c r="F89" s="10">
        <v>43592</v>
      </c>
      <c r="G89" s="89" t="s">
        <v>98</v>
      </c>
      <c r="H89" s="22" t="s">
        <v>16</v>
      </c>
      <c r="I89" s="90">
        <v>7279.38</v>
      </c>
      <c r="J89" s="90">
        <v>3234.26</v>
      </c>
      <c r="K89" s="91">
        <f t="shared" si="3"/>
        <v>0.5556956773791174</v>
      </c>
      <c r="L89" s="90">
        <v>942.59</v>
      </c>
      <c r="M89" s="91">
        <f t="shared" si="2"/>
        <v>0.12948767614824339</v>
      </c>
      <c r="N89" s="11">
        <v>580.38</v>
      </c>
      <c r="O89" s="92">
        <v>0</v>
      </c>
      <c r="P89" s="12"/>
      <c r="Q89" s="12"/>
      <c r="R89" s="13"/>
      <c r="S89" s="13"/>
      <c r="T89" s="13"/>
      <c r="U89" s="13"/>
    </row>
    <row r="90" spans="1:21" s="2" customFormat="1" ht="15.75" hidden="1" x14ac:dyDescent="0.25">
      <c r="A90" s="23"/>
      <c r="B90" s="22">
        <v>86</v>
      </c>
      <c r="C90" s="89" t="s">
        <v>28</v>
      </c>
      <c r="D90" s="89" t="s">
        <v>33</v>
      </c>
      <c r="E90" s="89" t="s">
        <v>444</v>
      </c>
      <c r="F90" s="10">
        <v>43561</v>
      </c>
      <c r="G90" s="89" t="s">
        <v>239</v>
      </c>
      <c r="H90" s="22" t="s">
        <v>16</v>
      </c>
      <c r="I90" s="90">
        <v>7973.12</v>
      </c>
      <c r="J90" s="90">
        <v>3787.4</v>
      </c>
      <c r="K90" s="91">
        <f t="shared" si="3"/>
        <v>0.52497892920211908</v>
      </c>
      <c r="L90" s="90">
        <v>955.94</v>
      </c>
      <c r="M90" s="91">
        <f t="shared" si="2"/>
        <v>0.11989534837052497</v>
      </c>
      <c r="N90" s="11">
        <v>490.32</v>
      </c>
      <c r="O90" s="92">
        <v>0</v>
      </c>
      <c r="P90" s="12"/>
      <c r="Q90" s="12"/>
      <c r="R90" s="13"/>
      <c r="S90" s="13"/>
      <c r="T90" s="13"/>
      <c r="U90" s="13"/>
    </row>
    <row r="91" spans="1:21" s="2" customFormat="1" ht="15.75" hidden="1" x14ac:dyDescent="0.25">
      <c r="A91" s="23"/>
      <c r="B91" s="22">
        <v>87</v>
      </c>
      <c r="C91" s="89" t="s">
        <v>38</v>
      </c>
      <c r="D91" s="89" t="s">
        <v>31</v>
      </c>
      <c r="E91" s="89" t="s">
        <v>92</v>
      </c>
      <c r="F91" s="10">
        <v>43551</v>
      </c>
      <c r="G91" s="89" t="s">
        <v>240</v>
      </c>
      <c r="H91" s="22" t="s">
        <v>14</v>
      </c>
      <c r="I91" s="90">
        <v>5004.43</v>
      </c>
      <c r="J91" s="90">
        <v>2289.71</v>
      </c>
      <c r="K91" s="91">
        <f t="shared" si="3"/>
        <v>0.54246337744758144</v>
      </c>
      <c r="L91" s="90">
        <v>726.28</v>
      </c>
      <c r="M91" s="91">
        <f t="shared" si="2"/>
        <v>0.1451274171084419</v>
      </c>
      <c r="N91" s="11">
        <v>703.28</v>
      </c>
      <c r="O91" s="92">
        <v>0</v>
      </c>
      <c r="P91" s="12"/>
      <c r="Q91" s="12"/>
      <c r="R91" s="13"/>
      <c r="S91" s="13"/>
      <c r="T91" s="13"/>
      <c r="U91" s="13"/>
    </row>
    <row r="92" spans="1:21" s="2" customFormat="1" ht="15.75" hidden="1" x14ac:dyDescent="0.25">
      <c r="A92" s="23"/>
      <c r="B92" s="22">
        <v>88</v>
      </c>
      <c r="C92" s="89" t="s">
        <v>38</v>
      </c>
      <c r="D92" s="89" t="s">
        <v>146</v>
      </c>
      <c r="E92" s="89" t="s">
        <v>445</v>
      </c>
      <c r="F92" s="10">
        <v>43395</v>
      </c>
      <c r="G92" s="89" t="s">
        <v>241</v>
      </c>
      <c r="H92" s="22" t="s">
        <v>443</v>
      </c>
      <c r="I92" s="90">
        <v>54636.95</v>
      </c>
      <c r="J92" s="90">
        <v>44943.25</v>
      </c>
      <c r="K92" s="91">
        <f t="shared" si="3"/>
        <v>0.17742022568975752</v>
      </c>
      <c r="L92" s="90">
        <f>1366.33+1008.5</f>
        <v>2374.83</v>
      </c>
      <c r="M92" s="91">
        <f t="shared" si="2"/>
        <v>4.3465640011018186E-2</v>
      </c>
      <c r="N92" s="11">
        <v>-6985.81</v>
      </c>
      <c r="O92" s="92">
        <v>1008.5</v>
      </c>
      <c r="P92" s="12" t="s">
        <v>223</v>
      </c>
      <c r="Q92" s="12"/>
      <c r="R92" s="13"/>
      <c r="S92" s="13"/>
      <c r="T92" s="13"/>
      <c r="U92" s="13"/>
    </row>
    <row r="93" spans="1:21" s="2" customFormat="1" ht="15.75" hidden="1" x14ac:dyDescent="0.25">
      <c r="A93" s="23"/>
      <c r="B93" s="22">
        <v>89</v>
      </c>
      <c r="C93" s="117" t="s">
        <v>161</v>
      </c>
      <c r="D93" s="89" t="s">
        <v>31</v>
      </c>
      <c r="E93" s="89" t="s">
        <v>449</v>
      </c>
      <c r="F93" s="10">
        <v>43529</v>
      </c>
      <c r="G93" s="89" t="s">
        <v>242</v>
      </c>
      <c r="H93" s="22" t="s">
        <v>13</v>
      </c>
      <c r="I93" s="90">
        <v>5505.72</v>
      </c>
      <c r="J93" s="90">
        <v>3890.46</v>
      </c>
      <c r="K93" s="93">
        <f t="shared" si="3"/>
        <v>0.29337852270002834</v>
      </c>
      <c r="L93" s="90">
        <v>321.29000000000002</v>
      </c>
      <c r="M93" s="91">
        <f t="shared" si="2"/>
        <v>5.8355673735678529E-2</v>
      </c>
      <c r="N93" s="11">
        <v>-348.62</v>
      </c>
      <c r="O93" s="92">
        <v>0</v>
      </c>
      <c r="P93" s="12" t="s">
        <v>243</v>
      </c>
      <c r="Q93" s="12"/>
      <c r="R93" s="13"/>
      <c r="S93" s="13"/>
      <c r="T93" s="13"/>
      <c r="U93" s="13"/>
    </row>
    <row r="94" spans="1:21" s="2" customFormat="1" ht="15.75" hidden="1" x14ac:dyDescent="0.25">
      <c r="A94" s="23"/>
      <c r="B94" s="22">
        <v>90</v>
      </c>
      <c r="C94" s="89" t="s">
        <v>41</v>
      </c>
      <c r="D94" s="89" t="s">
        <v>90</v>
      </c>
      <c r="E94" s="89" t="s">
        <v>449</v>
      </c>
      <c r="F94" s="10">
        <v>43602</v>
      </c>
      <c r="G94" s="89" t="s">
        <v>244</v>
      </c>
      <c r="H94" s="22" t="s">
        <v>20</v>
      </c>
      <c r="I94" s="90">
        <v>14998.96</v>
      </c>
      <c r="J94" s="90">
        <v>8649.99</v>
      </c>
      <c r="K94" s="91">
        <f t="shared" si="3"/>
        <v>0.42329401505171022</v>
      </c>
      <c r="L94" s="90">
        <v>1058.5</v>
      </c>
      <c r="M94" s="91">
        <f t="shared" si="2"/>
        <v>7.0571559628134217E-2</v>
      </c>
      <c r="N94" s="11">
        <v>-1042.24</v>
      </c>
      <c r="O94" s="92">
        <v>0</v>
      </c>
      <c r="P94" s="12" t="s">
        <v>245</v>
      </c>
      <c r="Q94" s="12"/>
      <c r="R94" s="13"/>
      <c r="S94" s="13"/>
      <c r="T94" s="13"/>
      <c r="U94" s="13"/>
    </row>
    <row r="95" spans="1:21" s="2" customFormat="1" ht="15.75" hidden="1" x14ac:dyDescent="0.25">
      <c r="A95" s="23"/>
      <c r="B95" s="22">
        <v>91</v>
      </c>
      <c r="C95" s="89" t="s">
        <v>44</v>
      </c>
      <c r="D95" s="89" t="s">
        <v>31</v>
      </c>
      <c r="E95" s="89" t="s">
        <v>449</v>
      </c>
      <c r="F95" s="10">
        <v>43635</v>
      </c>
      <c r="G95" s="89" t="s">
        <v>246</v>
      </c>
      <c r="H95" s="22" t="s">
        <v>13</v>
      </c>
      <c r="I95" s="90">
        <v>12493.48</v>
      </c>
      <c r="J95" s="90">
        <v>6509.09</v>
      </c>
      <c r="K95" s="91">
        <f t="shared" si="3"/>
        <v>0.47900104694608703</v>
      </c>
      <c r="L95" s="90">
        <v>918.48</v>
      </c>
      <c r="M95" s="91">
        <f t="shared" si="2"/>
        <v>7.3516746334888278E-2</v>
      </c>
      <c r="N95" s="11">
        <v>-765.92</v>
      </c>
      <c r="O95" s="92">
        <v>0</v>
      </c>
      <c r="P95" s="12" t="s">
        <v>247</v>
      </c>
      <c r="Q95" s="12"/>
      <c r="R95" s="13"/>
      <c r="S95" s="13"/>
      <c r="T95" s="13"/>
      <c r="U95" s="13"/>
    </row>
    <row r="96" spans="1:21" s="2" customFormat="1" ht="15.75" hidden="1" x14ac:dyDescent="0.25">
      <c r="A96" s="23"/>
      <c r="B96" s="22">
        <v>92</v>
      </c>
      <c r="C96" s="89" t="s">
        <v>38</v>
      </c>
      <c r="D96" s="89" t="s">
        <v>33</v>
      </c>
      <c r="E96" s="89" t="s">
        <v>444</v>
      </c>
      <c r="F96" s="10">
        <v>43617</v>
      </c>
      <c r="G96" s="89" t="s">
        <v>248</v>
      </c>
      <c r="H96" s="22" t="s">
        <v>16</v>
      </c>
      <c r="I96" s="90">
        <v>14283.35</v>
      </c>
      <c r="J96" s="90">
        <v>6744.47</v>
      </c>
      <c r="K96" s="91">
        <f t="shared" si="3"/>
        <v>0.52780895238161918</v>
      </c>
      <c r="L96" s="90">
        <v>1587.31</v>
      </c>
      <c r="M96" s="91">
        <f t="shared" si="2"/>
        <v>0.111130092030231</v>
      </c>
      <c r="N96" s="11">
        <v>520.37</v>
      </c>
      <c r="O96" s="92">
        <v>0</v>
      </c>
      <c r="P96" s="12"/>
      <c r="Q96" s="12"/>
      <c r="R96" s="13"/>
      <c r="S96" s="13"/>
      <c r="T96" s="13"/>
      <c r="U96" s="13"/>
    </row>
    <row r="97" spans="1:21" s="2" customFormat="1" ht="15.75" hidden="1" x14ac:dyDescent="0.25">
      <c r="A97" s="23"/>
      <c r="B97" s="22">
        <v>93</v>
      </c>
      <c r="C97" s="89" t="s">
        <v>28</v>
      </c>
      <c r="D97" s="89" t="s">
        <v>90</v>
      </c>
      <c r="E97" s="89" t="s">
        <v>448</v>
      </c>
      <c r="F97" s="10">
        <v>43596</v>
      </c>
      <c r="G97" s="89" t="s">
        <v>249</v>
      </c>
      <c r="H97" s="22" t="s">
        <v>14</v>
      </c>
      <c r="I97" s="90">
        <v>7022.94</v>
      </c>
      <c r="J97" s="90">
        <v>4176.1400000000003</v>
      </c>
      <c r="K97" s="91">
        <f t="shared" si="3"/>
        <v>0.40535730050377755</v>
      </c>
      <c r="L97" s="90">
        <f>180.67+100</f>
        <v>280.66999999999996</v>
      </c>
      <c r="M97" s="91">
        <f t="shared" si="2"/>
        <v>3.9964744110016596E-2</v>
      </c>
      <c r="N97" s="11">
        <v>-917.31</v>
      </c>
      <c r="O97" s="92">
        <v>100</v>
      </c>
      <c r="P97" s="12" t="s">
        <v>250</v>
      </c>
      <c r="Q97" s="12"/>
      <c r="R97" s="13"/>
      <c r="S97" s="13"/>
      <c r="T97" s="13"/>
      <c r="U97" s="13"/>
    </row>
    <row r="98" spans="1:21" s="2" customFormat="1" ht="15.75" hidden="1" x14ac:dyDescent="0.25">
      <c r="A98" s="23"/>
      <c r="B98" s="22">
        <v>94</v>
      </c>
      <c r="C98" s="89" t="s">
        <v>41</v>
      </c>
      <c r="D98" s="89" t="s">
        <v>90</v>
      </c>
      <c r="E98" s="89" t="s">
        <v>15</v>
      </c>
      <c r="F98" s="10">
        <v>43615</v>
      </c>
      <c r="G98" s="89" t="s">
        <v>251</v>
      </c>
      <c r="H98" s="22" t="s">
        <v>13</v>
      </c>
      <c r="I98" s="90">
        <v>7797.56</v>
      </c>
      <c r="J98" s="90">
        <v>3769.01</v>
      </c>
      <c r="K98" s="91">
        <f t="shared" si="3"/>
        <v>0.516642385566767</v>
      </c>
      <c r="L98" s="90">
        <v>795.68</v>
      </c>
      <c r="M98" s="91">
        <f t="shared" si="2"/>
        <v>0.10204217729648761</v>
      </c>
      <c r="N98" s="11">
        <v>101.06</v>
      </c>
      <c r="O98" s="92">
        <v>0</v>
      </c>
      <c r="P98" s="12" t="s">
        <v>252</v>
      </c>
      <c r="Q98" s="12"/>
      <c r="R98" s="13"/>
      <c r="S98" s="13"/>
      <c r="T98" s="13"/>
      <c r="U98" s="13"/>
    </row>
    <row r="99" spans="1:21" s="2" customFormat="1" ht="15.75" hidden="1" x14ac:dyDescent="0.25">
      <c r="A99" s="23"/>
      <c r="B99" s="22">
        <v>95</v>
      </c>
      <c r="C99" s="89" t="s">
        <v>28</v>
      </c>
      <c r="D99" s="89" t="s">
        <v>146</v>
      </c>
      <c r="E99" s="89" t="s">
        <v>15</v>
      </c>
      <c r="F99" s="10">
        <v>43593</v>
      </c>
      <c r="G99" s="89" t="s">
        <v>198</v>
      </c>
      <c r="H99" s="22" t="s">
        <v>20</v>
      </c>
      <c r="I99" s="90">
        <v>2595.6</v>
      </c>
      <c r="J99" s="90">
        <v>1407.44</v>
      </c>
      <c r="K99" s="91">
        <f t="shared" si="3"/>
        <v>0.4577592849437509</v>
      </c>
      <c r="L99" s="90">
        <v>248.78</v>
      </c>
      <c r="M99" s="91">
        <f t="shared" si="2"/>
        <v>9.584681769147789E-2</v>
      </c>
      <c r="N99" s="11">
        <v>34.299999999999997</v>
      </c>
      <c r="O99" s="92">
        <v>0</v>
      </c>
      <c r="P99" s="12"/>
      <c r="Q99" s="12"/>
      <c r="R99" s="13"/>
      <c r="S99" s="13"/>
      <c r="T99" s="13"/>
      <c r="U99" s="13"/>
    </row>
    <row r="100" spans="1:21" s="2" customFormat="1" ht="15.75" hidden="1" x14ac:dyDescent="0.25">
      <c r="A100" s="23"/>
      <c r="B100" s="22">
        <v>96</v>
      </c>
      <c r="C100" s="89" t="s">
        <v>28</v>
      </c>
      <c r="D100" s="89" t="s">
        <v>26</v>
      </c>
      <c r="E100" s="89" t="s">
        <v>92</v>
      </c>
      <c r="F100" s="10">
        <v>43654</v>
      </c>
      <c r="G100" s="89" t="s">
        <v>253</v>
      </c>
      <c r="H100" s="22" t="s">
        <v>14</v>
      </c>
      <c r="I100" s="90">
        <v>4078.79</v>
      </c>
      <c r="J100" s="90">
        <v>1881.89</v>
      </c>
      <c r="K100" s="91">
        <f t="shared" si="3"/>
        <v>0.53861561884774645</v>
      </c>
      <c r="L100" s="90">
        <f>383.9+50</f>
        <v>433.9</v>
      </c>
      <c r="M100" s="91">
        <f t="shared" si="2"/>
        <v>0.10637958806410724</v>
      </c>
      <c r="N100" s="11">
        <v>-16.21</v>
      </c>
      <c r="O100" s="92">
        <v>50</v>
      </c>
      <c r="P100" s="12" t="s">
        <v>254</v>
      </c>
      <c r="Q100" s="12"/>
      <c r="R100" s="13"/>
      <c r="S100" s="13"/>
      <c r="T100" s="13"/>
      <c r="U100" s="13"/>
    </row>
    <row r="101" spans="1:21" s="2" customFormat="1" ht="15.75" hidden="1" x14ac:dyDescent="0.25">
      <c r="A101" s="23"/>
      <c r="B101" s="22">
        <v>97</v>
      </c>
      <c r="C101" s="89" t="s">
        <v>28</v>
      </c>
      <c r="D101" s="89" t="s">
        <v>90</v>
      </c>
      <c r="E101" s="89" t="s">
        <v>448</v>
      </c>
      <c r="F101" s="10">
        <v>43651</v>
      </c>
      <c r="G101" s="89" t="s">
        <v>145</v>
      </c>
      <c r="H101" s="22" t="s">
        <v>14</v>
      </c>
      <c r="I101" s="90">
        <v>4992.6000000000004</v>
      </c>
      <c r="J101" s="90">
        <v>2249.75</v>
      </c>
      <c r="K101" s="91">
        <f t="shared" si="3"/>
        <v>0.54938308696871374</v>
      </c>
      <c r="L101" s="90">
        <f>444.6+100</f>
        <v>544.6</v>
      </c>
      <c r="M101" s="91">
        <f t="shared" si="2"/>
        <v>0.10908144053198734</v>
      </c>
      <c r="N101" s="11">
        <v>57.6</v>
      </c>
      <c r="O101" s="92">
        <v>100</v>
      </c>
      <c r="P101" s="12"/>
      <c r="Q101" s="12"/>
      <c r="R101" s="13"/>
      <c r="S101" s="13"/>
      <c r="T101" s="13"/>
      <c r="U101" s="13"/>
    </row>
    <row r="102" spans="1:21" s="2" customFormat="1" ht="15.75" hidden="1" x14ac:dyDescent="0.25">
      <c r="A102" s="23"/>
      <c r="B102" s="22">
        <v>98</v>
      </c>
      <c r="C102" s="89" t="s">
        <v>28</v>
      </c>
      <c r="D102" s="89" t="s">
        <v>146</v>
      </c>
      <c r="E102" s="89" t="s">
        <v>445</v>
      </c>
      <c r="F102" s="10">
        <v>43568</v>
      </c>
      <c r="G102" s="89" t="s">
        <v>255</v>
      </c>
      <c r="H102" s="22" t="s">
        <v>18</v>
      </c>
      <c r="I102" s="90">
        <v>26209.040000000001</v>
      </c>
      <c r="J102" s="90">
        <f>18389.74-3742</f>
        <v>14647.740000000002</v>
      </c>
      <c r="K102" s="93">
        <f t="shared" si="3"/>
        <v>0.44111878954742328</v>
      </c>
      <c r="L102" s="90">
        <v>2096.11</v>
      </c>
      <c r="M102" s="91">
        <f t="shared" si="2"/>
        <v>7.9976603492535409E-2</v>
      </c>
      <c r="N102" s="11">
        <v>89.64</v>
      </c>
      <c r="O102" s="92">
        <v>0</v>
      </c>
      <c r="P102" s="12"/>
      <c r="Q102" s="12"/>
      <c r="R102" s="13"/>
      <c r="S102" s="13"/>
      <c r="T102" s="13"/>
      <c r="U102" s="13"/>
    </row>
    <row r="103" spans="1:21" s="2" customFormat="1" ht="15.75" hidden="1" x14ac:dyDescent="0.25">
      <c r="A103" s="23"/>
      <c r="B103" s="22">
        <v>99</v>
      </c>
      <c r="C103" s="89" t="s">
        <v>38</v>
      </c>
      <c r="D103" s="89" t="s">
        <v>146</v>
      </c>
      <c r="E103" s="89" t="s">
        <v>445</v>
      </c>
      <c r="F103" s="10">
        <v>43580</v>
      </c>
      <c r="G103" s="89" t="s">
        <v>256</v>
      </c>
      <c r="H103" s="22" t="s">
        <v>443</v>
      </c>
      <c r="I103" s="90">
        <v>19181.560000000001</v>
      </c>
      <c r="J103" s="90">
        <v>11556.04</v>
      </c>
      <c r="K103" s="91">
        <f t="shared" si="3"/>
        <v>0.39754430817931385</v>
      </c>
      <c r="L103" s="90">
        <v>1435.24</v>
      </c>
      <c r="M103" s="91">
        <f t="shared" si="2"/>
        <v>7.4823945497655031E-2</v>
      </c>
      <c r="N103" s="11">
        <v>-532.84</v>
      </c>
      <c r="O103" s="92">
        <v>0</v>
      </c>
      <c r="P103" s="12" t="s">
        <v>257</v>
      </c>
      <c r="Q103" s="12"/>
      <c r="R103" s="13"/>
      <c r="S103" s="13"/>
      <c r="T103" s="13"/>
      <c r="U103" s="13"/>
    </row>
    <row r="104" spans="1:21" s="2" customFormat="1" ht="15.75" hidden="1" x14ac:dyDescent="0.25">
      <c r="A104" s="23"/>
      <c r="B104" s="22">
        <v>100</v>
      </c>
      <c r="C104" s="117" t="s">
        <v>258</v>
      </c>
      <c r="D104" s="89" t="s">
        <v>31</v>
      </c>
      <c r="E104" s="89" t="s">
        <v>446</v>
      </c>
      <c r="F104" s="10">
        <v>43550</v>
      </c>
      <c r="G104" s="89" t="s">
        <v>259</v>
      </c>
      <c r="H104" s="22" t="s">
        <v>443</v>
      </c>
      <c r="I104" s="90">
        <v>16175.36</v>
      </c>
      <c r="J104" s="90">
        <v>7509.65</v>
      </c>
      <c r="K104" s="91">
        <f t="shared" si="3"/>
        <v>0.535735217021445</v>
      </c>
      <c r="L104" s="90">
        <v>2397.31</v>
      </c>
      <c r="M104" s="91">
        <f t="shared" si="2"/>
        <v>0.14820752057450343</v>
      </c>
      <c r="N104" s="11">
        <v>2354.56</v>
      </c>
      <c r="O104" s="92">
        <v>0</v>
      </c>
      <c r="P104" s="12"/>
      <c r="Q104" s="12"/>
      <c r="R104" s="13"/>
      <c r="S104" s="13"/>
      <c r="T104" s="13"/>
      <c r="U104" s="13"/>
    </row>
    <row r="105" spans="1:21" s="2" customFormat="1" ht="15.75" hidden="1" x14ac:dyDescent="0.25">
      <c r="A105" s="23"/>
      <c r="B105" s="22">
        <v>101</v>
      </c>
      <c r="C105" s="89" t="s">
        <v>28</v>
      </c>
      <c r="D105" s="89" t="s">
        <v>31</v>
      </c>
      <c r="E105" s="89" t="s">
        <v>15</v>
      </c>
      <c r="F105" s="10">
        <v>43634</v>
      </c>
      <c r="G105" s="89" t="s">
        <v>260</v>
      </c>
      <c r="H105" s="22" t="s">
        <v>13</v>
      </c>
      <c r="I105" s="90">
        <v>8859.33</v>
      </c>
      <c r="J105" s="90">
        <v>3587.69</v>
      </c>
      <c r="K105" s="91">
        <f t="shared" si="3"/>
        <v>0.59503822523825156</v>
      </c>
      <c r="L105" s="90">
        <f>587.36+400</f>
        <v>987.36</v>
      </c>
      <c r="M105" s="91">
        <f t="shared" si="2"/>
        <v>0.11144860841621207</v>
      </c>
      <c r="N105" s="11">
        <v>-846.17</v>
      </c>
      <c r="O105" s="92">
        <v>400</v>
      </c>
      <c r="P105" s="12"/>
      <c r="Q105" s="12"/>
      <c r="R105" s="13"/>
      <c r="S105" s="13"/>
      <c r="T105" s="13"/>
      <c r="U105" s="13"/>
    </row>
    <row r="106" spans="1:21" s="2" customFormat="1" ht="15.75" hidden="1" x14ac:dyDescent="0.25">
      <c r="A106" s="23"/>
      <c r="B106" s="22">
        <v>102</v>
      </c>
      <c r="C106" s="89" t="s">
        <v>28</v>
      </c>
      <c r="D106" s="89" t="s">
        <v>31</v>
      </c>
      <c r="E106" s="89" t="s">
        <v>449</v>
      </c>
      <c r="F106" s="10">
        <v>43651</v>
      </c>
      <c r="G106" s="89" t="s">
        <v>261</v>
      </c>
      <c r="H106" s="22" t="s">
        <v>13</v>
      </c>
      <c r="I106" s="90">
        <v>10989.57</v>
      </c>
      <c r="J106" s="90">
        <v>4795.22</v>
      </c>
      <c r="K106" s="91">
        <f t="shared" si="3"/>
        <v>0.56365717675941818</v>
      </c>
      <c r="L106" s="90">
        <v>1417.85</v>
      </c>
      <c r="M106" s="91">
        <f t="shared" si="2"/>
        <v>0.12901778686518217</v>
      </c>
      <c r="N106" s="11">
        <v>858.47</v>
      </c>
      <c r="O106" s="92">
        <v>0</v>
      </c>
      <c r="P106" s="12"/>
      <c r="Q106" s="12"/>
      <c r="R106" s="13"/>
      <c r="S106" s="13"/>
      <c r="T106" s="13"/>
      <c r="U106" s="13"/>
    </row>
    <row r="107" spans="1:21" s="2" customFormat="1" ht="15.75" hidden="1" x14ac:dyDescent="0.25">
      <c r="A107" s="23"/>
      <c r="B107" s="22">
        <v>103</v>
      </c>
      <c r="C107" s="89" t="s">
        <v>44</v>
      </c>
      <c r="D107" s="89" t="s">
        <v>31</v>
      </c>
      <c r="E107" s="89" t="s">
        <v>15</v>
      </c>
      <c r="F107" s="10">
        <v>43641</v>
      </c>
      <c r="G107" s="89" t="s">
        <v>48</v>
      </c>
      <c r="H107" s="22" t="s">
        <v>13</v>
      </c>
      <c r="I107" s="90">
        <v>4216.1899999999996</v>
      </c>
      <c r="J107" s="90">
        <v>2112.0100000000002</v>
      </c>
      <c r="K107" s="91">
        <f t="shared" si="3"/>
        <v>0.49907143653393221</v>
      </c>
      <c r="L107" s="90">
        <v>369.44</v>
      </c>
      <c r="M107" s="91">
        <f t="shared" si="2"/>
        <v>8.7624134585965061E-2</v>
      </c>
      <c r="N107" s="11">
        <v>-69.209999999999994</v>
      </c>
      <c r="O107" s="92">
        <v>0</v>
      </c>
      <c r="P107" s="12"/>
      <c r="Q107" s="12"/>
      <c r="R107" s="13"/>
      <c r="S107" s="13"/>
      <c r="T107" s="13"/>
      <c r="U107" s="13"/>
    </row>
    <row r="108" spans="1:21" s="2" customFormat="1" ht="15.75" hidden="1" x14ac:dyDescent="0.25">
      <c r="A108" s="23"/>
      <c r="B108" s="22">
        <v>104</v>
      </c>
      <c r="C108" s="89" t="s">
        <v>41</v>
      </c>
      <c r="D108" s="89" t="s">
        <v>39</v>
      </c>
      <c r="E108" s="89" t="s">
        <v>444</v>
      </c>
      <c r="F108" s="10">
        <v>43626</v>
      </c>
      <c r="G108" s="89" t="s">
        <v>91</v>
      </c>
      <c r="H108" s="22" t="s">
        <v>16</v>
      </c>
      <c r="I108" s="90">
        <v>12428.83</v>
      </c>
      <c r="J108" s="90">
        <v>6168.67</v>
      </c>
      <c r="K108" s="91">
        <f t="shared" si="3"/>
        <v>0.50368055561142921</v>
      </c>
      <c r="L108" s="90">
        <v>1150.6099999999999</v>
      </c>
      <c r="M108" s="91">
        <f t="shared" si="2"/>
        <v>9.2575890087803911E-2</v>
      </c>
      <c r="N108" s="11">
        <v>-160.66999999999999</v>
      </c>
      <c r="O108" s="92">
        <v>0</v>
      </c>
      <c r="P108" s="12"/>
      <c r="Q108" s="12"/>
      <c r="R108" s="13"/>
      <c r="S108" s="13"/>
      <c r="T108" s="13"/>
      <c r="U108" s="13"/>
    </row>
    <row r="109" spans="1:21" s="2" customFormat="1" ht="15.75" hidden="1" x14ac:dyDescent="0.25">
      <c r="A109" s="23"/>
      <c r="B109" s="22">
        <v>105</v>
      </c>
      <c r="C109" s="89" t="s">
        <v>28</v>
      </c>
      <c r="D109" s="89" t="s">
        <v>90</v>
      </c>
      <c r="E109" s="89" t="s">
        <v>448</v>
      </c>
      <c r="F109" s="10">
        <v>43549</v>
      </c>
      <c r="G109" s="89" t="s">
        <v>53</v>
      </c>
      <c r="H109" s="22" t="s">
        <v>24</v>
      </c>
      <c r="I109" s="90">
        <v>5580.13</v>
      </c>
      <c r="J109" s="90">
        <v>2333.5700000000002</v>
      </c>
      <c r="K109" s="91">
        <f t="shared" si="3"/>
        <v>0.5818072338816479</v>
      </c>
      <c r="L109" s="90">
        <f>589.88+50</f>
        <v>639.88</v>
      </c>
      <c r="M109" s="91">
        <f t="shared" si="2"/>
        <v>0.11467116357504216</v>
      </c>
      <c r="N109" s="11">
        <v>123.42</v>
      </c>
      <c r="O109" s="92">
        <v>50</v>
      </c>
      <c r="P109" s="12"/>
      <c r="Q109" s="12"/>
      <c r="R109" s="13"/>
      <c r="S109" s="13"/>
      <c r="T109" s="13"/>
      <c r="U109" s="13"/>
    </row>
    <row r="110" spans="1:21" s="2" customFormat="1" ht="15.75" hidden="1" x14ac:dyDescent="0.25">
      <c r="A110" s="23"/>
      <c r="B110" s="22">
        <v>106</v>
      </c>
      <c r="C110" s="89" t="s">
        <v>38</v>
      </c>
      <c r="D110" s="89" t="s">
        <v>146</v>
      </c>
      <c r="E110" s="89" t="s">
        <v>144</v>
      </c>
      <c r="F110" s="10">
        <v>43580</v>
      </c>
      <c r="G110" s="89" t="s">
        <v>262</v>
      </c>
      <c r="H110" s="22" t="s">
        <v>18</v>
      </c>
      <c r="I110" s="90">
        <v>23515.85</v>
      </c>
      <c r="J110" s="90">
        <v>13775.66</v>
      </c>
      <c r="K110" s="91">
        <f t="shared" si="3"/>
        <v>0.41419680768502942</v>
      </c>
      <c r="L110" s="90">
        <v>2086.9499999999998</v>
      </c>
      <c r="M110" s="91">
        <f t="shared" si="2"/>
        <v>8.8746526279084109E-2</v>
      </c>
      <c r="N110" s="11">
        <v>506.35</v>
      </c>
      <c r="O110" s="92">
        <v>0</v>
      </c>
      <c r="P110" s="12"/>
      <c r="Q110" s="12"/>
      <c r="R110" s="13"/>
      <c r="S110" s="13"/>
      <c r="T110" s="13"/>
      <c r="U110" s="13"/>
    </row>
    <row r="111" spans="1:21" s="2" customFormat="1" ht="15.75" hidden="1" x14ac:dyDescent="0.25">
      <c r="A111" s="23"/>
      <c r="B111" s="22">
        <v>107</v>
      </c>
      <c r="C111" s="89" t="s">
        <v>28</v>
      </c>
      <c r="D111" s="89" t="s">
        <v>31</v>
      </c>
      <c r="E111" s="89" t="s">
        <v>445</v>
      </c>
      <c r="F111" s="10">
        <v>43573</v>
      </c>
      <c r="G111" s="89" t="s">
        <v>263</v>
      </c>
      <c r="H111" s="22" t="s">
        <v>443</v>
      </c>
      <c r="I111" s="90">
        <v>21416.45</v>
      </c>
      <c r="J111" s="90">
        <v>13467.92</v>
      </c>
      <c r="K111" s="93">
        <f t="shared" si="3"/>
        <v>0.37114134228595308</v>
      </c>
      <c r="L111" s="90">
        <v>1007.91</v>
      </c>
      <c r="M111" s="91">
        <f t="shared" si="2"/>
        <v>4.7062421643176151E-2</v>
      </c>
      <c r="N111" s="11">
        <v>-2764.35</v>
      </c>
      <c r="O111" s="92">
        <v>0</v>
      </c>
      <c r="P111" s="12" t="s">
        <v>264</v>
      </c>
      <c r="Q111" s="12"/>
      <c r="R111" s="13"/>
      <c r="S111" s="13"/>
      <c r="T111" s="13"/>
      <c r="U111" s="13"/>
    </row>
    <row r="112" spans="1:21" s="2" customFormat="1" ht="15.75" hidden="1" x14ac:dyDescent="0.25">
      <c r="A112" s="23"/>
      <c r="B112" s="22">
        <v>108</v>
      </c>
      <c r="C112" s="89" t="s">
        <v>28</v>
      </c>
      <c r="D112" s="89" t="s">
        <v>26</v>
      </c>
      <c r="E112" s="89" t="s">
        <v>448</v>
      </c>
      <c r="F112" s="10">
        <v>43617</v>
      </c>
      <c r="G112" s="89" t="s">
        <v>265</v>
      </c>
      <c r="H112" s="22" t="s">
        <v>14</v>
      </c>
      <c r="I112" s="90">
        <v>16129.78</v>
      </c>
      <c r="J112" s="90">
        <v>8387.68</v>
      </c>
      <c r="K112" s="91">
        <f t="shared" si="3"/>
        <v>0.47998794775874193</v>
      </c>
      <c r="L112" s="90">
        <f>1152.93+100</f>
        <v>1252.93</v>
      </c>
      <c r="M112" s="91">
        <f t="shared" si="2"/>
        <v>7.7678058845191938E-2</v>
      </c>
      <c r="N112" s="11">
        <v>-92.62</v>
      </c>
      <c r="O112" s="92">
        <v>100</v>
      </c>
      <c r="P112" s="12"/>
      <c r="Q112" s="12"/>
      <c r="R112" s="13"/>
      <c r="S112" s="13"/>
      <c r="T112" s="13"/>
      <c r="U112" s="13"/>
    </row>
    <row r="113" spans="1:21" s="2" customFormat="1" ht="15.75" hidden="1" x14ac:dyDescent="0.25">
      <c r="A113" s="23"/>
      <c r="B113" s="22">
        <v>109</v>
      </c>
      <c r="C113" s="89" t="s">
        <v>41</v>
      </c>
      <c r="D113" s="89" t="s">
        <v>26</v>
      </c>
      <c r="E113" s="89" t="s">
        <v>448</v>
      </c>
      <c r="F113" s="10">
        <v>43634</v>
      </c>
      <c r="G113" s="117" t="s">
        <v>266</v>
      </c>
      <c r="H113" s="22" t="s">
        <v>24</v>
      </c>
      <c r="I113" s="90">
        <v>9471.85</v>
      </c>
      <c r="J113" s="90">
        <v>4632.32</v>
      </c>
      <c r="K113" s="91">
        <f t="shared" si="3"/>
        <v>0.51093820109060006</v>
      </c>
      <c r="L113" s="90">
        <v>927.65</v>
      </c>
      <c r="M113" s="91">
        <f t="shared" si="2"/>
        <v>9.7937572913422394E-2</v>
      </c>
      <c r="N113" s="11">
        <v>56.15</v>
      </c>
      <c r="O113" s="92">
        <v>0</v>
      </c>
      <c r="P113" s="12"/>
      <c r="Q113" s="12"/>
      <c r="R113" s="13"/>
      <c r="S113" s="13"/>
      <c r="T113" s="13"/>
      <c r="U113" s="13"/>
    </row>
    <row r="114" spans="1:21" s="2" customFormat="1" ht="15.75" hidden="1" x14ac:dyDescent="0.25">
      <c r="A114" s="23"/>
      <c r="B114" s="22">
        <v>110</v>
      </c>
      <c r="C114" s="89" t="s">
        <v>28</v>
      </c>
      <c r="D114" s="89" t="s">
        <v>146</v>
      </c>
      <c r="E114" s="89" t="s">
        <v>445</v>
      </c>
      <c r="F114" s="10">
        <v>43634</v>
      </c>
      <c r="G114" s="89" t="s">
        <v>267</v>
      </c>
      <c r="H114" s="22" t="s">
        <v>16</v>
      </c>
      <c r="I114" s="90">
        <v>12097.33</v>
      </c>
      <c r="J114" s="90">
        <v>6381.98</v>
      </c>
      <c r="K114" s="91">
        <f t="shared" si="3"/>
        <v>0.47244722595812466</v>
      </c>
      <c r="L114" s="90">
        <v>961.35</v>
      </c>
      <c r="M114" s="91">
        <f t="shared" si="2"/>
        <v>7.9467948712649825E-2</v>
      </c>
      <c r="N114" s="11">
        <v>-1285.97</v>
      </c>
      <c r="O114" s="92">
        <v>0</v>
      </c>
      <c r="P114" s="12" t="s">
        <v>268</v>
      </c>
      <c r="Q114" s="12"/>
      <c r="R114" s="13"/>
      <c r="S114" s="13"/>
      <c r="T114" s="13"/>
      <c r="U114" s="13"/>
    </row>
    <row r="115" spans="1:21" s="2" customFormat="1" ht="15.75" hidden="1" x14ac:dyDescent="0.25">
      <c r="A115" s="23"/>
      <c r="B115" s="22">
        <v>111</v>
      </c>
      <c r="C115" s="89" t="s">
        <v>45</v>
      </c>
      <c r="D115" s="89" t="s">
        <v>31</v>
      </c>
      <c r="E115" s="89" t="s">
        <v>449</v>
      </c>
      <c r="F115" s="10">
        <v>43648</v>
      </c>
      <c r="G115" s="89" t="s">
        <v>114</v>
      </c>
      <c r="H115" s="22" t="s">
        <v>13</v>
      </c>
      <c r="I115" s="90">
        <v>10970.76</v>
      </c>
      <c r="J115" s="90">
        <v>4905.07</v>
      </c>
      <c r="K115" s="91">
        <f t="shared" si="3"/>
        <v>0.5528960618954385</v>
      </c>
      <c r="L115" s="90">
        <v>1227.28</v>
      </c>
      <c r="M115" s="91">
        <f t="shared" si="2"/>
        <v>0.11186827530635982</v>
      </c>
      <c r="N115" s="11">
        <v>453.96</v>
      </c>
      <c r="O115" s="92">
        <v>0</v>
      </c>
      <c r="P115" s="12"/>
      <c r="Q115" s="12"/>
      <c r="R115" s="13"/>
      <c r="S115" s="13"/>
      <c r="T115" s="13"/>
      <c r="U115" s="13"/>
    </row>
    <row r="116" spans="1:21" s="2" customFormat="1" ht="15.75" x14ac:dyDescent="0.25">
      <c r="A116" s="23"/>
      <c r="B116" s="22">
        <v>112</v>
      </c>
      <c r="C116" s="89" t="s">
        <v>451</v>
      </c>
      <c r="D116" s="89" t="s">
        <v>146</v>
      </c>
      <c r="E116" s="89" t="s">
        <v>144</v>
      </c>
      <c r="F116" s="10">
        <v>43463</v>
      </c>
      <c r="G116" s="89" t="s">
        <v>270</v>
      </c>
      <c r="H116" s="22" t="s">
        <v>18</v>
      </c>
      <c r="I116" s="90">
        <v>34187.32</v>
      </c>
      <c r="J116" s="90">
        <v>21485.040000000001</v>
      </c>
      <c r="K116" s="91">
        <f t="shared" si="3"/>
        <v>0.37154945166804532</v>
      </c>
      <c r="L116" s="90">
        <v>2093.3200000000002</v>
      </c>
      <c r="M116" s="91">
        <f t="shared" si="2"/>
        <v>6.1230889113273582E-2</v>
      </c>
      <c r="N116" s="11">
        <v>-2145.02</v>
      </c>
      <c r="O116" s="92">
        <v>0</v>
      </c>
      <c r="P116" s="12"/>
      <c r="Q116" s="12"/>
      <c r="R116" s="13"/>
      <c r="S116" s="13"/>
      <c r="T116" s="13"/>
      <c r="U116" s="13"/>
    </row>
    <row r="117" spans="1:21" s="2" customFormat="1" ht="15.75" hidden="1" x14ac:dyDescent="0.25">
      <c r="A117" s="23"/>
      <c r="B117" s="22">
        <v>113</v>
      </c>
      <c r="C117" s="89" t="s">
        <v>41</v>
      </c>
      <c r="D117" s="89" t="s">
        <v>90</v>
      </c>
      <c r="E117" s="89" t="s">
        <v>445</v>
      </c>
      <c r="F117" s="10">
        <v>43618</v>
      </c>
      <c r="G117" s="89" t="s">
        <v>271</v>
      </c>
      <c r="H117" s="22" t="s">
        <v>16</v>
      </c>
      <c r="I117" s="90">
        <v>7740.92</v>
      </c>
      <c r="J117" s="90">
        <v>4221.22</v>
      </c>
      <c r="K117" s="91">
        <f t="shared" si="3"/>
        <v>0.45468755651782988</v>
      </c>
      <c r="L117" s="90">
        <v>615.88</v>
      </c>
      <c r="M117" s="91">
        <f t="shared" si="2"/>
        <v>7.9561602496860839E-2</v>
      </c>
      <c r="N117" s="11">
        <v>-351.78</v>
      </c>
      <c r="O117" s="92">
        <v>0</v>
      </c>
      <c r="P117" s="12"/>
      <c r="Q117" s="12"/>
      <c r="R117" s="13"/>
      <c r="S117" s="13"/>
      <c r="T117" s="13"/>
      <c r="U117" s="13"/>
    </row>
    <row r="118" spans="1:21" s="2" customFormat="1" ht="15.75" hidden="1" x14ac:dyDescent="0.25">
      <c r="A118" s="23"/>
      <c r="B118" s="22">
        <v>114</v>
      </c>
      <c r="C118" s="89" t="s">
        <v>38</v>
      </c>
      <c r="D118" s="89" t="s">
        <v>90</v>
      </c>
      <c r="E118" s="89" t="s">
        <v>449</v>
      </c>
      <c r="F118" s="10">
        <v>43649</v>
      </c>
      <c r="G118" s="89" t="s">
        <v>55</v>
      </c>
      <c r="H118" s="22" t="s">
        <v>20</v>
      </c>
      <c r="I118" s="90">
        <v>33771.35</v>
      </c>
      <c r="J118" s="90">
        <v>17603.39</v>
      </c>
      <c r="K118" s="91">
        <f t="shared" si="3"/>
        <v>0.47874781434559177</v>
      </c>
      <c r="L118" s="90">
        <v>3426.15</v>
      </c>
      <c r="M118" s="91">
        <f t="shared" si="2"/>
        <v>0.10145137816521993</v>
      </c>
      <c r="N118" s="11">
        <v>423.35</v>
      </c>
      <c r="O118" s="92">
        <v>0</v>
      </c>
      <c r="P118" s="12"/>
      <c r="Q118" s="12"/>
      <c r="R118" s="13"/>
      <c r="S118" s="13"/>
      <c r="T118" s="13"/>
      <c r="U118" s="13"/>
    </row>
    <row r="119" spans="1:21" s="2" customFormat="1" ht="15.75" hidden="1" x14ac:dyDescent="0.25">
      <c r="A119" s="23"/>
      <c r="B119" s="22">
        <v>115</v>
      </c>
      <c r="C119" s="89" t="s">
        <v>28</v>
      </c>
      <c r="D119" s="89" t="s">
        <v>26</v>
      </c>
      <c r="E119" s="89" t="s">
        <v>448</v>
      </c>
      <c r="F119" s="10">
        <v>43417</v>
      </c>
      <c r="G119" s="89" t="s">
        <v>272</v>
      </c>
      <c r="H119" s="22" t="s">
        <v>62</v>
      </c>
      <c r="I119" s="90">
        <v>46303.59</v>
      </c>
      <c r="J119" s="90">
        <v>18065.41</v>
      </c>
      <c r="K119" s="91">
        <f t="shared" si="3"/>
        <v>0.60984861001058444</v>
      </c>
      <c r="L119" s="90">
        <v>6290.83</v>
      </c>
      <c r="M119" s="91">
        <f t="shared" si="2"/>
        <v>0.1358605239896086</v>
      </c>
      <c r="N119" s="11">
        <v>5305.29</v>
      </c>
      <c r="O119" s="92">
        <v>0</v>
      </c>
      <c r="P119" s="12"/>
      <c r="Q119" s="12"/>
      <c r="R119" s="13"/>
      <c r="S119" s="13"/>
      <c r="T119" s="13"/>
      <c r="U119" s="13"/>
    </row>
    <row r="120" spans="1:21" s="2" customFormat="1" ht="15.75" hidden="1" x14ac:dyDescent="0.25">
      <c r="A120" s="23"/>
      <c r="B120" s="22">
        <v>116</v>
      </c>
      <c r="C120" s="89" t="s">
        <v>41</v>
      </c>
      <c r="D120" s="89" t="s">
        <v>26</v>
      </c>
      <c r="E120" s="89" t="s">
        <v>92</v>
      </c>
      <c r="F120" s="10">
        <v>43560</v>
      </c>
      <c r="G120" s="89" t="s">
        <v>273</v>
      </c>
      <c r="H120" s="22" t="s">
        <v>60</v>
      </c>
      <c r="I120" s="90">
        <v>21426.51</v>
      </c>
      <c r="J120" s="90">
        <v>9708.4699999999993</v>
      </c>
      <c r="K120" s="91">
        <f t="shared" si="3"/>
        <v>0.5468944779154421</v>
      </c>
      <c r="L120" s="90">
        <v>2127.06</v>
      </c>
      <c r="M120" s="91">
        <f t="shared" si="2"/>
        <v>9.9272350000070009E-2</v>
      </c>
      <c r="N120" s="11">
        <v>748.51</v>
      </c>
      <c r="O120" s="92">
        <v>0</v>
      </c>
      <c r="P120" s="12"/>
      <c r="Q120" s="12"/>
      <c r="R120" s="13"/>
      <c r="S120" s="13"/>
      <c r="T120" s="13"/>
      <c r="U120" s="13"/>
    </row>
    <row r="121" spans="1:21" s="2" customFormat="1" ht="15.75" hidden="1" x14ac:dyDescent="0.25">
      <c r="A121" s="23"/>
      <c r="B121" s="22">
        <v>117</v>
      </c>
      <c r="C121" s="89" t="s">
        <v>28</v>
      </c>
      <c r="D121" s="89" t="s">
        <v>26</v>
      </c>
      <c r="E121" s="89" t="s">
        <v>15</v>
      </c>
      <c r="F121" s="10">
        <v>43645</v>
      </c>
      <c r="G121" s="89" t="s">
        <v>274</v>
      </c>
      <c r="H121" s="22" t="s">
        <v>13</v>
      </c>
      <c r="I121" s="90">
        <v>4599.3900000000003</v>
      </c>
      <c r="J121" s="90">
        <v>1963.24</v>
      </c>
      <c r="K121" s="91">
        <f t="shared" si="3"/>
        <v>0.57315209190784</v>
      </c>
      <c r="L121" s="90">
        <v>507.84</v>
      </c>
      <c r="M121" s="91">
        <f t="shared" si="2"/>
        <v>0.11041464194164877</v>
      </c>
      <c r="N121" s="11">
        <v>180.99</v>
      </c>
      <c r="O121" s="92">
        <v>0</v>
      </c>
      <c r="P121" s="12"/>
      <c r="Q121" s="12"/>
      <c r="R121" s="13"/>
      <c r="S121" s="13"/>
      <c r="T121" s="13"/>
      <c r="U121" s="13"/>
    </row>
    <row r="122" spans="1:21" s="2" customFormat="1" ht="15.75" hidden="1" x14ac:dyDescent="0.25">
      <c r="A122" s="23"/>
      <c r="B122" s="22">
        <v>118</v>
      </c>
      <c r="C122" s="89" t="s">
        <v>28</v>
      </c>
      <c r="D122" s="89" t="s">
        <v>31</v>
      </c>
      <c r="E122" s="89" t="s">
        <v>448</v>
      </c>
      <c r="F122" s="10">
        <v>43573</v>
      </c>
      <c r="G122" s="89" t="s">
        <v>275</v>
      </c>
      <c r="H122" s="22" t="s">
        <v>14</v>
      </c>
      <c r="I122" s="90">
        <v>9549.0400000000009</v>
      </c>
      <c r="J122" s="90">
        <v>6103.52</v>
      </c>
      <c r="K122" s="91">
        <f t="shared" si="3"/>
        <v>0.36082370583849266</v>
      </c>
      <c r="L122" s="90">
        <v>538.12</v>
      </c>
      <c r="M122" s="91">
        <f t="shared" si="2"/>
        <v>5.6353308814289182E-2</v>
      </c>
      <c r="N122" s="11">
        <v>-936.96</v>
      </c>
      <c r="O122" s="92">
        <v>0</v>
      </c>
      <c r="P122" s="12" t="s">
        <v>276</v>
      </c>
      <c r="Q122" s="12"/>
      <c r="R122" s="13"/>
      <c r="S122" s="13"/>
      <c r="T122" s="13"/>
      <c r="U122" s="13"/>
    </row>
    <row r="123" spans="1:21" s="2" customFormat="1" ht="15.75" hidden="1" x14ac:dyDescent="0.25">
      <c r="A123" s="23"/>
      <c r="B123" s="22">
        <v>119</v>
      </c>
      <c r="C123" s="89" t="s">
        <v>41</v>
      </c>
      <c r="D123" s="89" t="s">
        <v>33</v>
      </c>
      <c r="E123" s="89" t="s">
        <v>448</v>
      </c>
      <c r="F123" s="10">
        <v>43649</v>
      </c>
      <c r="G123" s="89" t="s">
        <v>277</v>
      </c>
      <c r="H123" s="22" t="s">
        <v>30</v>
      </c>
      <c r="I123" s="90">
        <v>15786.42</v>
      </c>
      <c r="J123" s="90">
        <v>6556.22</v>
      </c>
      <c r="K123" s="91">
        <f t="shared" si="3"/>
        <v>0.58469241284597784</v>
      </c>
      <c r="L123" s="90">
        <v>1947.69</v>
      </c>
      <c r="M123" s="91">
        <f t="shared" si="2"/>
        <v>0.12337756122034002</v>
      </c>
      <c r="N123" s="11">
        <v>1027.6199999999999</v>
      </c>
      <c r="O123" s="92">
        <v>0</v>
      </c>
      <c r="P123" s="12"/>
      <c r="Q123" s="12"/>
      <c r="R123" s="13"/>
      <c r="S123" s="13"/>
      <c r="T123" s="13"/>
      <c r="U123" s="13"/>
    </row>
    <row r="124" spans="1:21" s="2" customFormat="1" ht="15.75" hidden="1" x14ac:dyDescent="0.25">
      <c r="A124" s="23"/>
      <c r="B124" s="22">
        <v>120</v>
      </c>
      <c r="C124" s="89" t="s">
        <v>111</v>
      </c>
      <c r="D124" s="89" t="s">
        <v>33</v>
      </c>
      <c r="E124" s="89" t="s">
        <v>448</v>
      </c>
      <c r="F124" s="10">
        <v>43631</v>
      </c>
      <c r="G124" s="89" t="s">
        <v>278</v>
      </c>
      <c r="H124" s="22" t="s">
        <v>14</v>
      </c>
      <c r="I124" s="90">
        <v>7726.38</v>
      </c>
      <c r="J124" s="90">
        <v>4155.99</v>
      </c>
      <c r="K124" s="91">
        <f t="shared" si="3"/>
        <v>0.46210385717502894</v>
      </c>
      <c r="L124" s="90">
        <v>667.83</v>
      </c>
      <c r="M124" s="91">
        <f t="shared" si="2"/>
        <v>8.6435044613389453E-2</v>
      </c>
      <c r="N124" s="11">
        <v>178.98</v>
      </c>
      <c r="O124" s="92">
        <v>0</v>
      </c>
      <c r="P124" s="12"/>
      <c r="Q124" s="12"/>
      <c r="R124" s="13"/>
      <c r="S124" s="13"/>
      <c r="T124" s="13"/>
      <c r="U124" s="13"/>
    </row>
    <row r="125" spans="1:21" s="2" customFormat="1" ht="15.75" hidden="1" x14ac:dyDescent="0.25">
      <c r="A125" s="23"/>
      <c r="B125" s="22">
        <v>121</v>
      </c>
      <c r="C125" s="89" t="s">
        <v>41</v>
      </c>
      <c r="D125" s="89" t="s">
        <v>26</v>
      </c>
      <c r="E125" s="89" t="s">
        <v>92</v>
      </c>
      <c r="F125" s="10">
        <v>43564</v>
      </c>
      <c r="G125" s="89" t="s">
        <v>279</v>
      </c>
      <c r="H125" s="22" t="s">
        <v>24</v>
      </c>
      <c r="I125" s="90">
        <v>44573.42</v>
      </c>
      <c r="J125" s="90">
        <v>21186.21</v>
      </c>
      <c r="K125" s="91">
        <f t="shared" si="3"/>
        <v>0.5246896020094487</v>
      </c>
      <c r="L125" s="90">
        <f>4216.35+100</f>
        <v>4316.3500000000004</v>
      </c>
      <c r="M125" s="91">
        <f t="shared" si="2"/>
        <v>9.6836859276223375E-2</v>
      </c>
      <c r="N125" s="11">
        <v>2859.02</v>
      </c>
      <c r="O125" s="92">
        <v>100</v>
      </c>
      <c r="P125" s="12"/>
      <c r="Q125" s="12"/>
      <c r="R125" s="13"/>
      <c r="S125" s="13"/>
      <c r="T125" s="13"/>
      <c r="U125" s="13"/>
    </row>
    <row r="126" spans="1:21" s="2" customFormat="1" ht="15.75" hidden="1" x14ac:dyDescent="0.25">
      <c r="A126" s="23"/>
      <c r="B126" s="22">
        <v>122</v>
      </c>
      <c r="C126" s="89" t="s">
        <v>28</v>
      </c>
      <c r="D126" s="89" t="s">
        <v>146</v>
      </c>
      <c r="E126" s="89" t="s">
        <v>144</v>
      </c>
      <c r="F126" s="10">
        <v>43628</v>
      </c>
      <c r="G126" s="89" t="s">
        <v>113</v>
      </c>
      <c r="H126" s="22" t="s">
        <v>18</v>
      </c>
      <c r="I126" s="90">
        <v>23823.87</v>
      </c>
      <c r="J126" s="90">
        <v>15505.98</v>
      </c>
      <c r="K126" s="91">
        <f t="shared" si="3"/>
        <v>0.34914100857669217</v>
      </c>
      <c r="L126" s="90">
        <v>1277.28</v>
      </c>
      <c r="M126" s="91">
        <f t="shared" si="2"/>
        <v>5.3613455748373375E-2</v>
      </c>
      <c r="N126" s="11">
        <v>1031.83</v>
      </c>
      <c r="O126" s="92">
        <v>0</v>
      </c>
      <c r="P126" s="12"/>
      <c r="Q126" s="12"/>
      <c r="R126" s="13"/>
      <c r="S126" s="13"/>
      <c r="T126" s="13"/>
      <c r="U126" s="13"/>
    </row>
    <row r="127" spans="1:21" s="2" customFormat="1" ht="15.75" hidden="1" x14ac:dyDescent="0.25">
      <c r="A127" s="23"/>
      <c r="B127" s="22">
        <v>123</v>
      </c>
      <c r="C127" s="89" t="s">
        <v>28</v>
      </c>
      <c r="D127" s="89" t="s">
        <v>31</v>
      </c>
      <c r="E127" s="89" t="s">
        <v>449</v>
      </c>
      <c r="F127" s="10">
        <v>43656</v>
      </c>
      <c r="G127" s="117" t="s">
        <v>280</v>
      </c>
      <c r="H127" s="22" t="s">
        <v>13</v>
      </c>
      <c r="I127" s="90">
        <v>10587.25</v>
      </c>
      <c r="J127" s="90">
        <v>4926</v>
      </c>
      <c r="K127" s="91">
        <f t="shared" si="3"/>
        <v>0.53472337009138349</v>
      </c>
      <c r="L127" s="90">
        <f>1033.85+50</f>
        <v>1083.8499999999999</v>
      </c>
      <c r="M127" s="91">
        <f t="shared" si="2"/>
        <v>0.10237313750029516</v>
      </c>
      <c r="N127" s="11">
        <v>-0.95</v>
      </c>
      <c r="O127" s="92">
        <v>50</v>
      </c>
      <c r="P127" s="12"/>
      <c r="Q127" s="12"/>
      <c r="R127" s="13"/>
      <c r="S127" s="13"/>
      <c r="T127" s="13"/>
      <c r="U127" s="13"/>
    </row>
    <row r="128" spans="1:21" s="2" customFormat="1" ht="15.75" hidden="1" x14ac:dyDescent="0.25">
      <c r="A128" s="23"/>
      <c r="B128" s="22">
        <v>124</v>
      </c>
      <c r="C128" s="89" t="s">
        <v>28</v>
      </c>
      <c r="D128" s="89" t="s">
        <v>33</v>
      </c>
      <c r="E128" s="89" t="s">
        <v>92</v>
      </c>
      <c r="F128" s="10">
        <v>43631</v>
      </c>
      <c r="G128" s="89" t="s">
        <v>281</v>
      </c>
      <c r="H128" s="22" t="s">
        <v>19</v>
      </c>
      <c r="I128" s="90">
        <v>4622.0200000000004</v>
      </c>
      <c r="J128" s="90">
        <v>2290.2399999999998</v>
      </c>
      <c r="K128" s="91">
        <f t="shared" si="3"/>
        <v>0.50449370621503165</v>
      </c>
      <c r="L128" s="90">
        <f>408.41+100</f>
        <v>508.41</v>
      </c>
      <c r="M128" s="91">
        <f t="shared" si="2"/>
        <v>0.10999736046144326</v>
      </c>
      <c r="N128" s="11">
        <v>72.02</v>
      </c>
      <c r="O128" s="92">
        <v>100</v>
      </c>
      <c r="P128" s="12"/>
      <c r="Q128" s="12"/>
      <c r="R128" s="13"/>
      <c r="S128" s="13"/>
      <c r="T128" s="13"/>
      <c r="U128" s="13"/>
    </row>
    <row r="129" spans="1:21" s="2" customFormat="1" ht="15.75" hidden="1" x14ac:dyDescent="0.25">
      <c r="A129" s="23"/>
      <c r="B129" s="22">
        <v>125</v>
      </c>
      <c r="C129" s="89" t="s">
        <v>28</v>
      </c>
      <c r="D129" s="89" t="s">
        <v>26</v>
      </c>
      <c r="E129" s="89" t="s">
        <v>448</v>
      </c>
      <c r="F129" s="10">
        <v>43665</v>
      </c>
      <c r="G129" s="89" t="s">
        <v>282</v>
      </c>
      <c r="H129" s="22" t="s">
        <v>14</v>
      </c>
      <c r="I129" s="90">
        <v>6989.57</v>
      </c>
      <c r="J129" s="90">
        <v>2667.39</v>
      </c>
      <c r="K129" s="91">
        <f t="shared" si="3"/>
        <v>0.6183756654558149</v>
      </c>
      <c r="L129" s="90">
        <v>966.81</v>
      </c>
      <c r="M129" s="91">
        <f t="shared" si="2"/>
        <v>0.13832181378825878</v>
      </c>
      <c r="N129" s="11">
        <v>713.37</v>
      </c>
      <c r="O129" s="92">
        <v>0</v>
      </c>
      <c r="P129" s="12"/>
      <c r="Q129" s="12"/>
      <c r="R129" s="13"/>
      <c r="S129" s="13"/>
      <c r="T129" s="13"/>
      <c r="U129" s="13"/>
    </row>
    <row r="130" spans="1:21" s="2" customFormat="1" ht="15.75" hidden="1" x14ac:dyDescent="0.25">
      <c r="A130" s="23"/>
      <c r="B130" s="22">
        <v>126</v>
      </c>
      <c r="C130" s="89" t="s">
        <v>28</v>
      </c>
      <c r="D130" s="89" t="s">
        <v>26</v>
      </c>
      <c r="E130" s="89" t="s">
        <v>92</v>
      </c>
      <c r="F130" s="10">
        <v>43634</v>
      </c>
      <c r="G130" s="89" t="s">
        <v>105</v>
      </c>
      <c r="H130" s="22" t="s">
        <v>19</v>
      </c>
      <c r="I130" s="90">
        <v>8574.74</v>
      </c>
      <c r="J130" s="90">
        <v>3881</v>
      </c>
      <c r="K130" s="91">
        <f t="shared" si="3"/>
        <v>0.54739152440773708</v>
      </c>
      <c r="L130" s="90">
        <v>1019.27</v>
      </c>
      <c r="M130" s="91">
        <f t="shared" si="2"/>
        <v>0.11886891031098319</v>
      </c>
      <c r="N130" s="11">
        <v>610.98</v>
      </c>
      <c r="O130" s="92">
        <v>0</v>
      </c>
      <c r="P130" s="12"/>
      <c r="Q130" s="12"/>
      <c r="R130" s="13"/>
      <c r="S130" s="13"/>
      <c r="T130" s="13"/>
      <c r="U130" s="13"/>
    </row>
    <row r="131" spans="1:21" s="2" customFormat="1" ht="15.75" hidden="1" x14ac:dyDescent="0.25">
      <c r="A131" s="23"/>
      <c r="B131" s="22">
        <v>127</v>
      </c>
      <c r="C131" s="89" t="s">
        <v>28</v>
      </c>
      <c r="D131" s="89" t="s">
        <v>90</v>
      </c>
      <c r="E131" s="89" t="s">
        <v>450</v>
      </c>
      <c r="F131" s="10">
        <v>43634</v>
      </c>
      <c r="G131" s="89" t="s">
        <v>284</v>
      </c>
      <c r="H131" s="22" t="s">
        <v>19</v>
      </c>
      <c r="I131" s="90">
        <v>5516.57</v>
      </c>
      <c r="J131" s="90">
        <v>2144.4</v>
      </c>
      <c r="K131" s="91">
        <f t="shared" si="3"/>
        <v>0.61128019765905262</v>
      </c>
      <c r="L131" s="90">
        <v>868.99</v>
      </c>
      <c r="M131" s="91">
        <f t="shared" si="2"/>
        <v>0.15752360615382385</v>
      </c>
      <c r="N131" s="11">
        <v>837.07</v>
      </c>
      <c r="O131" s="92">
        <v>0</v>
      </c>
      <c r="P131" s="12"/>
      <c r="Q131" s="12"/>
      <c r="R131" s="13"/>
      <c r="S131" s="13"/>
      <c r="T131" s="13"/>
      <c r="U131" s="13"/>
    </row>
    <row r="132" spans="1:21" s="2" customFormat="1" ht="15.75" hidden="1" x14ac:dyDescent="0.25">
      <c r="A132" s="23"/>
      <c r="B132" s="22">
        <v>128</v>
      </c>
      <c r="C132" s="89" t="s">
        <v>28</v>
      </c>
      <c r="D132" s="89" t="s">
        <v>26</v>
      </c>
      <c r="E132" s="89" t="s">
        <v>448</v>
      </c>
      <c r="F132" s="10">
        <v>43662</v>
      </c>
      <c r="G132" s="89" t="s">
        <v>285</v>
      </c>
      <c r="H132" s="22" t="s">
        <v>19</v>
      </c>
      <c r="I132" s="90">
        <v>4421.78</v>
      </c>
      <c r="J132" s="90">
        <v>1997.64</v>
      </c>
      <c r="K132" s="91">
        <f t="shared" si="3"/>
        <v>0.54822718452749786</v>
      </c>
      <c r="L132" s="90">
        <v>559.45000000000005</v>
      </c>
      <c r="M132" s="91">
        <f t="shared" si="2"/>
        <v>0.1265214461144607</v>
      </c>
      <c r="N132" s="11">
        <v>398.18</v>
      </c>
      <c r="O132" s="92">
        <v>0</v>
      </c>
      <c r="P132" s="12"/>
      <c r="Q132" s="12"/>
      <c r="R132" s="13"/>
      <c r="S132" s="13"/>
      <c r="T132" s="13"/>
      <c r="U132" s="13"/>
    </row>
    <row r="133" spans="1:21" s="2" customFormat="1" ht="15.75" hidden="1" x14ac:dyDescent="0.25">
      <c r="A133" s="23"/>
      <c r="B133" s="22">
        <v>129</v>
      </c>
      <c r="C133" s="89" t="s">
        <v>41</v>
      </c>
      <c r="D133" s="89" t="s">
        <v>26</v>
      </c>
      <c r="E133" s="89" t="s">
        <v>449</v>
      </c>
      <c r="F133" s="10">
        <v>43564</v>
      </c>
      <c r="G133" s="89" t="s">
        <v>206</v>
      </c>
      <c r="H133" s="22" t="s">
        <v>59</v>
      </c>
      <c r="I133" s="90">
        <v>9100.41</v>
      </c>
      <c r="J133" s="90">
        <v>3845.31</v>
      </c>
      <c r="K133" s="91">
        <f t="shared" si="3"/>
        <v>0.57745749916762001</v>
      </c>
      <c r="L133" s="90">
        <v>1130.28</v>
      </c>
      <c r="M133" s="91">
        <f t="shared" si="2"/>
        <v>0.12420099753747359</v>
      </c>
      <c r="N133" s="11">
        <v>795.61</v>
      </c>
      <c r="O133" s="92">
        <v>0</v>
      </c>
      <c r="P133" s="12"/>
      <c r="Q133" s="12"/>
      <c r="R133" s="13"/>
      <c r="S133" s="13"/>
      <c r="T133" s="13"/>
      <c r="U133" s="13"/>
    </row>
    <row r="134" spans="1:21" s="2" customFormat="1" ht="15.75" hidden="1" x14ac:dyDescent="0.25">
      <c r="A134" s="23"/>
      <c r="B134" s="22">
        <v>130</v>
      </c>
      <c r="C134" s="89" t="s">
        <v>111</v>
      </c>
      <c r="D134" s="89" t="s">
        <v>31</v>
      </c>
      <c r="E134" s="89" t="s">
        <v>448</v>
      </c>
      <c r="F134" s="10">
        <v>43517</v>
      </c>
      <c r="G134" s="89" t="s">
        <v>286</v>
      </c>
      <c r="H134" s="22" t="s">
        <v>14</v>
      </c>
      <c r="I134" s="90">
        <v>27238.03</v>
      </c>
      <c r="J134" s="90">
        <v>15862.03</v>
      </c>
      <c r="K134" s="91">
        <f t="shared" si="3"/>
        <v>0.41765134996914238</v>
      </c>
      <c r="L134" s="90">
        <v>2163.5100000000002</v>
      </c>
      <c r="M134" s="91">
        <f t="shared" si="2"/>
        <v>7.9429753179653603E-2</v>
      </c>
      <c r="N134" s="11">
        <v>-527.47</v>
      </c>
      <c r="O134" s="92">
        <v>0</v>
      </c>
      <c r="P134" s="12"/>
      <c r="Q134" s="12"/>
      <c r="R134" s="13"/>
      <c r="S134" s="13"/>
      <c r="T134" s="13"/>
      <c r="U134" s="13"/>
    </row>
    <row r="135" spans="1:21" s="2" customFormat="1" ht="15.75" hidden="1" x14ac:dyDescent="0.25">
      <c r="A135" s="23"/>
      <c r="B135" s="22">
        <v>131</v>
      </c>
      <c r="C135" s="89" t="s">
        <v>112</v>
      </c>
      <c r="D135" s="89" t="s">
        <v>33</v>
      </c>
      <c r="E135" s="89" t="s">
        <v>445</v>
      </c>
      <c r="F135" s="10">
        <v>43610</v>
      </c>
      <c r="G135" s="89" t="s">
        <v>94</v>
      </c>
      <c r="H135" s="22" t="s">
        <v>16</v>
      </c>
      <c r="I135" s="90">
        <v>10060.81</v>
      </c>
      <c r="J135" s="90">
        <v>5396.09</v>
      </c>
      <c r="K135" s="91">
        <f t="shared" si="3"/>
        <v>0.46365252897132531</v>
      </c>
      <c r="L135" s="90">
        <v>981.68</v>
      </c>
      <c r="M135" s="91">
        <f t="shared" si="2"/>
        <v>9.7574648562093913E-2</v>
      </c>
      <c r="N135" s="11">
        <v>69.010000000000005</v>
      </c>
      <c r="O135" s="92">
        <v>0</v>
      </c>
      <c r="P135" s="12"/>
      <c r="Q135" s="12"/>
      <c r="R135" s="13"/>
      <c r="S135" s="13"/>
      <c r="T135" s="13"/>
      <c r="U135" s="13"/>
    </row>
    <row r="136" spans="1:21" s="2" customFormat="1" ht="15.75" hidden="1" x14ac:dyDescent="0.25">
      <c r="A136" s="23"/>
      <c r="B136" s="22">
        <v>132</v>
      </c>
      <c r="C136" s="89" t="s">
        <v>28</v>
      </c>
      <c r="D136" s="89" t="s">
        <v>31</v>
      </c>
      <c r="E136" s="89" t="s">
        <v>92</v>
      </c>
      <c r="F136" s="10">
        <v>43606</v>
      </c>
      <c r="G136" s="117" t="s">
        <v>50</v>
      </c>
      <c r="H136" s="22" t="s">
        <v>14</v>
      </c>
      <c r="I136" s="90">
        <v>25908.69</v>
      </c>
      <c r="J136" s="90">
        <v>13232.46</v>
      </c>
      <c r="K136" s="91">
        <f t="shared" si="3"/>
        <v>0.48926557074093674</v>
      </c>
      <c r="L136" s="90">
        <v>2983.97</v>
      </c>
      <c r="M136" s="91">
        <f t="shared" si="2"/>
        <v>0.11517255407355602</v>
      </c>
      <c r="N136" s="11">
        <v>1715.99</v>
      </c>
      <c r="O136" s="92">
        <v>0</v>
      </c>
      <c r="P136" s="12"/>
      <c r="Q136" s="12"/>
      <c r="R136" s="13"/>
      <c r="S136" s="13"/>
      <c r="T136" s="13"/>
      <c r="U136" s="13"/>
    </row>
    <row r="137" spans="1:21" s="2" customFormat="1" ht="15.75" hidden="1" x14ac:dyDescent="0.25">
      <c r="A137" s="23"/>
      <c r="B137" s="22">
        <v>133</v>
      </c>
      <c r="C137" s="89" t="s">
        <v>28</v>
      </c>
      <c r="D137" s="89" t="s">
        <v>26</v>
      </c>
      <c r="E137" s="89" t="s">
        <v>448</v>
      </c>
      <c r="F137" s="10">
        <v>43669</v>
      </c>
      <c r="G137" s="89" t="s">
        <v>287</v>
      </c>
      <c r="H137" s="22" t="s">
        <v>14</v>
      </c>
      <c r="I137" s="90">
        <v>6989.57</v>
      </c>
      <c r="J137" s="90">
        <v>3452.42</v>
      </c>
      <c r="K137" s="91">
        <f t="shared" si="3"/>
        <v>0.50606117400641237</v>
      </c>
      <c r="L137" s="90">
        <v>639.63</v>
      </c>
      <c r="M137" s="91">
        <f t="shared" si="2"/>
        <v>9.1512067265940536E-2</v>
      </c>
      <c r="N137" s="11">
        <v>-1.33</v>
      </c>
      <c r="O137" s="92">
        <v>0</v>
      </c>
      <c r="P137" s="12"/>
      <c r="Q137" s="12"/>
      <c r="R137" s="13"/>
      <c r="S137" s="13"/>
      <c r="T137" s="13"/>
      <c r="U137" s="13"/>
    </row>
    <row r="138" spans="1:21" s="2" customFormat="1" ht="15.75" hidden="1" x14ac:dyDescent="0.25">
      <c r="A138" s="23"/>
      <c r="B138" s="22">
        <v>134</v>
      </c>
      <c r="C138" s="89" t="s">
        <v>28</v>
      </c>
      <c r="D138" s="89" t="s">
        <v>33</v>
      </c>
      <c r="E138" s="89" t="s">
        <v>445</v>
      </c>
      <c r="F138" s="10">
        <v>43627</v>
      </c>
      <c r="G138" s="89" t="s">
        <v>288</v>
      </c>
      <c r="H138" s="22" t="s">
        <v>16</v>
      </c>
      <c r="I138" s="90">
        <v>9181.92</v>
      </c>
      <c r="J138" s="90">
        <v>5372.41</v>
      </c>
      <c r="K138" s="91">
        <f t="shared" si="3"/>
        <v>0.41489252792444281</v>
      </c>
      <c r="L138" s="90">
        <v>981.06</v>
      </c>
      <c r="M138" s="91">
        <f t="shared" si="2"/>
        <v>0.10684693397459354</v>
      </c>
      <c r="N138" s="11">
        <v>200.92</v>
      </c>
      <c r="O138" s="92">
        <v>0</v>
      </c>
      <c r="P138" s="12"/>
      <c r="Q138" s="12"/>
      <c r="R138" s="13"/>
      <c r="S138" s="13"/>
      <c r="T138" s="13"/>
      <c r="U138" s="13"/>
    </row>
    <row r="139" spans="1:21" s="2" customFormat="1" ht="15.75" hidden="1" x14ac:dyDescent="0.25">
      <c r="A139" s="23"/>
      <c r="B139" s="22">
        <v>135</v>
      </c>
      <c r="C139" s="89" t="s">
        <v>57</v>
      </c>
      <c r="D139" s="89" t="s">
        <v>146</v>
      </c>
      <c r="E139" s="89" t="s">
        <v>144</v>
      </c>
      <c r="F139" s="10">
        <v>43588</v>
      </c>
      <c r="G139" s="89" t="s">
        <v>289</v>
      </c>
      <c r="H139" s="22" t="s">
        <v>18</v>
      </c>
      <c r="I139" s="90">
        <v>22340.67</v>
      </c>
      <c r="J139" s="90">
        <v>12726.79</v>
      </c>
      <c r="K139" s="91">
        <f t="shared" si="3"/>
        <v>0.43033087190312547</v>
      </c>
      <c r="L139" s="90">
        <v>2183.75</v>
      </c>
      <c r="M139" s="91">
        <f t="shared" si="2"/>
        <v>9.7747739884255946E-2</v>
      </c>
      <c r="N139" s="11">
        <v>690.17</v>
      </c>
      <c r="O139" s="92">
        <v>0</v>
      </c>
      <c r="P139" s="12"/>
      <c r="Q139" s="12"/>
      <c r="R139" s="13"/>
      <c r="S139" s="13"/>
      <c r="T139" s="13"/>
      <c r="U139" s="13"/>
    </row>
    <row r="140" spans="1:21" s="2" customFormat="1" ht="15.75" hidden="1" x14ac:dyDescent="0.25">
      <c r="A140" s="23"/>
      <c r="B140" s="22">
        <v>136</v>
      </c>
      <c r="C140" s="89" t="s">
        <v>28</v>
      </c>
      <c r="D140" s="89" t="s">
        <v>146</v>
      </c>
      <c r="E140" s="89" t="s">
        <v>446</v>
      </c>
      <c r="F140" s="10">
        <v>43574</v>
      </c>
      <c r="G140" s="89" t="s">
        <v>290</v>
      </c>
      <c r="H140" s="22" t="s">
        <v>16</v>
      </c>
      <c r="I140" s="90">
        <v>10382.39</v>
      </c>
      <c r="J140" s="90">
        <v>5536.17</v>
      </c>
      <c r="K140" s="91">
        <f t="shared" si="3"/>
        <v>0.46677306477602937</v>
      </c>
      <c r="L140" s="90">
        <v>851.19</v>
      </c>
      <c r="M140" s="91">
        <f t="shared" si="2"/>
        <v>8.1984013314853332E-2</v>
      </c>
      <c r="N140" s="11">
        <v>-229.61</v>
      </c>
      <c r="O140" s="92">
        <v>0</v>
      </c>
      <c r="P140" s="12"/>
      <c r="Q140" s="12"/>
      <c r="R140" s="13"/>
      <c r="S140" s="13"/>
      <c r="T140" s="13"/>
      <c r="U140" s="13"/>
    </row>
    <row r="141" spans="1:21" s="2" customFormat="1" ht="15.75" hidden="1" x14ac:dyDescent="0.25">
      <c r="A141" s="23"/>
      <c r="B141" s="22">
        <v>137</v>
      </c>
      <c r="C141" s="89" t="s">
        <v>28</v>
      </c>
      <c r="D141" s="89" t="s">
        <v>52</v>
      </c>
      <c r="E141" s="89" t="s">
        <v>444</v>
      </c>
      <c r="F141" s="10">
        <v>43630</v>
      </c>
      <c r="G141" s="89" t="s">
        <v>291</v>
      </c>
      <c r="H141" s="22" t="s">
        <v>16</v>
      </c>
      <c r="I141" s="90">
        <v>6524.68</v>
      </c>
      <c r="J141" s="90">
        <v>4925.12</v>
      </c>
      <c r="K141" s="91">
        <f t="shared" si="3"/>
        <v>0.24515531796195375</v>
      </c>
      <c r="L141" s="90">
        <f>-346.72+O141</f>
        <v>370.43999999999994</v>
      </c>
      <c r="M141" s="91">
        <f t="shared" si="2"/>
        <v>5.6775198170638239E-2</v>
      </c>
      <c r="N141" s="11">
        <v>-2349.2199999999998</v>
      </c>
      <c r="O141" s="92">
        <v>717.16</v>
      </c>
      <c r="P141" s="12"/>
      <c r="Q141" s="12"/>
      <c r="R141" s="13"/>
      <c r="S141" s="13"/>
      <c r="T141" s="13"/>
      <c r="U141" s="13"/>
    </row>
    <row r="142" spans="1:21" s="2" customFormat="1" ht="15.75" hidden="1" x14ac:dyDescent="0.25">
      <c r="A142" s="23"/>
      <c r="B142" s="22">
        <v>138</v>
      </c>
      <c r="C142" s="89" t="s">
        <v>28</v>
      </c>
      <c r="D142" s="89" t="s">
        <v>26</v>
      </c>
      <c r="E142" s="89" t="s">
        <v>15</v>
      </c>
      <c r="F142" s="10">
        <v>43701</v>
      </c>
      <c r="G142" s="89" t="s">
        <v>292</v>
      </c>
      <c r="H142" s="22" t="s">
        <v>13</v>
      </c>
      <c r="I142" s="90">
        <v>3151.8</v>
      </c>
      <c r="J142" s="90">
        <v>1107.82</v>
      </c>
      <c r="K142" s="91">
        <f t="shared" si="3"/>
        <v>0.6485119614188718</v>
      </c>
      <c r="L142" s="90">
        <v>413</v>
      </c>
      <c r="M142" s="91">
        <f t="shared" si="2"/>
        <v>0.13103623326353195</v>
      </c>
      <c r="N142" s="11">
        <v>305.81</v>
      </c>
      <c r="O142" s="92">
        <v>0</v>
      </c>
      <c r="P142" s="12"/>
      <c r="Q142" s="12"/>
      <c r="R142" s="13"/>
      <c r="S142" s="13"/>
      <c r="T142" s="13"/>
      <c r="U142" s="13"/>
    </row>
    <row r="143" spans="1:21" s="2" customFormat="1" ht="15.75" hidden="1" x14ac:dyDescent="0.25">
      <c r="A143" s="23"/>
      <c r="B143" s="22">
        <v>139</v>
      </c>
      <c r="C143" s="89" t="s">
        <v>41</v>
      </c>
      <c r="D143" s="89" t="s">
        <v>33</v>
      </c>
      <c r="E143" s="89" t="s">
        <v>448</v>
      </c>
      <c r="F143" s="10">
        <v>43641</v>
      </c>
      <c r="G143" s="89" t="s">
        <v>51</v>
      </c>
      <c r="H143" s="22" t="s">
        <v>19</v>
      </c>
      <c r="I143" s="90">
        <v>5943.12</v>
      </c>
      <c r="J143" s="90">
        <v>2808.72</v>
      </c>
      <c r="K143" s="91">
        <f t="shared" si="3"/>
        <v>0.52739974962645886</v>
      </c>
      <c r="L143" s="90">
        <v>664.92499999999995</v>
      </c>
      <c r="M143" s="91">
        <f t="shared" si="2"/>
        <v>0.11188146966576477</v>
      </c>
      <c r="N143" s="11">
        <v>127.52</v>
      </c>
      <c r="O143" s="92">
        <v>0</v>
      </c>
      <c r="P143" s="12"/>
      <c r="Q143" s="12"/>
      <c r="R143" s="13"/>
      <c r="S143" s="13"/>
      <c r="T143" s="13"/>
      <c r="U143" s="13"/>
    </row>
    <row r="144" spans="1:21" s="2" customFormat="1" ht="15.75" hidden="1" x14ac:dyDescent="0.25">
      <c r="A144" s="23"/>
      <c r="B144" s="22">
        <v>140</v>
      </c>
      <c r="C144" s="89" t="s">
        <v>28</v>
      </c>
      <c r="D144" s="89" t="s">
        <v>31</v>
      </c>
      <c r="E144" s="89" t="s">
        <v>450</v>
      </c>
      <c r="F144" s="10">
        <v>43608</v>
      </c>
      <c r="G144" s="89" t="s">
        <v>293</v>
      </c>
      <c r="H144" s="22" t="s">
        <v>19</v>
      </c>
      <c r="I144" s="90">
        <v>5970.8</v>
      </c>
      <c r="J144" s="90">
        <v>2387.3200000000002</v>
      </c>
      <c r="K144" s="91">
        <f t="shared" si="3"/>
        <v>0.60016748174448986</v>
      </c>
      <c r="L144" s="90">
        <v>910.6</v>
      </c>
      <c r="M144" s="91">
        <f t="shared" si="2"/>
        <v>0.15250887653245795</v>
      </c>
      <c r="N144" s="11">
        <v>941.3</v>
      </c>
      <c r="O144" s="92">
        <v>0</v>
      </c>
      <c r="P144" s="12"/>
      <c r="Q144" s="12"/>
      <c r="R144" s="13"/>
      <c r="S144" s="13"/>
      <c r="T144" s="13"/>
      <c r="U144" s="13"/>
    </row>
    <row r="145" spans="1:21" s="2" customFormat="1" ht="15.75" hidden="1" x14ac:dyDescent="0.25">
      <c r="A145" s="23"/>
      <c r="B145" s="22">
        <v>141</v>
      </c>
      <c r="C145" s="89" t="s">
        <v>294</v>
      </c>
      <c r="D145" s="89" t="s">
        <v>52</v>
      </c>
      <c r="E145" s="89" t="s">
        <v>445</v>
      </c>
      <c r="F145" s="10">
        <v>43636</v>
      </c>
      <c r="G145" s="89" t="s">
        <v>295</v>
      </c>
      <c r="H145" s="22" t="s">
        <v>16</v>
      </c>
      <c r="I145" s="90">
        <v>12284.55</v>
      </c>
      <c r="J145" s="90">
        <v>8360.02</v>
      </c>
      <c r="K145" s="91">
        <f t="shared" si="3"/>
        <v>0.31946876360957455</v>
      </c>
      <c r="L145" s="90">
        <f>285.73+O145</f>
        <v>409.40000000000003</v>
      </c>
      <c r="M145" s="91">
        <f t="shared" si="2"/>
        <v>3.3326414072961573E-2</v>
      </c>
      <c r="N145" s="11">
        <v>-1576.85</v>
      </c>
      <c r="O145" s="92">
        <v>123.67</v>
      </c>
      <c r="P145" s="12"/>
      <c r="Q145" s="12"/>
      <c r="R145" s="13"/>
      <c r="S145" s="13"/>
      <c r="T145" s="13"/>
      <c r="U145" s="13"/>
    </row>
    <row r="146" spans="1:21" s="2" customFormat="1" ht="15.75" hidden="1" x14ac:dyDescent="0.25">
      <c r="A146" s="23"/>
      <c r="B146" s="22">
        <v>142</v>
      </c>
      <c r="C146" s="89" t="s">
        <v>28</v>
      </c>
      <c r="D146" s="89" t="s">
        <v>31</v>
      </c>
      <c r="E146" s="89" t="s">
        <v>92</v>
      </c>
      <c r="F146" s="10">
        <v>43591</v>
      </c>
      <c r="G146" s="89" t="s">
        <v>296</v>
      </c>
      <c r="H146" s="22" t="s">
        <v>14</v>
      </c>
      <c r="I146" s="90">
        <v>11532.79</v>
      </c>
      <c r="J146" s="90">
        <v>6226.13</v>
      </c>
      <c r="K146" s="91">
        <f t="shared" si="3"/>
        <v>0.46013670586215483</v>
      </c>
      <c r="L146" s="90">
        <v>875.92</v>
      </c>
      <c r="M146" s="91">
        <f t="shared" si="2"/>
        <v>7.5950398819366341E-2</v>
      </c>
      <c r="N146" s="11">
        <v>-294.41000000000003</v>
      </c>
      <c r="O146" s="92">
        <v>0</v>
      </c>
      <c r="P146" s="12"/>
      <c r="Q146" s="12"/>
      <c r="R146" s="13"/>
      <c r="S146" s="13"/>
      <c r="T146" s="13"/>
      <c r="U146" s="13"/>
    </row>
    <row r="147" spans="1:21" s="2" customFormat="1" ht="15.75" hidden="1" x14ac:dyDescent="0.25">
      <c r="A147" s="23"/>
      <c r="B147" s="22">
        <v>143</v>
      </c>
      <c r="C147" s="89" t="s">
        <v>28</v>
      </c>
      <c r="D147" s="89" t="s">
        <v>33</v>
      </c>
      <c r="E147" s="89" t="s">
        <v>450</v>
      </c>
      <c r="F147" s="10">
        <v>43659</v>
      </c>
      <c r="G147" s="89" t="s">
        <v>297</v>
      </c>
      <c r="H147" s="22" t="s">
        <v>19</v>
      </c>
      <c r="I147" s="90">
        <v>8960.3700000000008</v>
      </c>
      <c r="J147" s="90">
        <v>5144.07</v>
      </c>
      <c r="K147" s="91">
        <f t="shared" si="3"/>
        <v>0.42590875153592994</v>
      </c>
      <c r="L147" s="90">
        <v>614.29999999999995</v>
      </c>
      <c r="M147" s="91">
        <f t="shared" si="2"/>
        <v>6.8557436802274899E-2</v>
      </c>
      <c r="N147" s="11">
        <v>-28.33</v>
      </c>
      <c r="O147" s="92">
        <v>0</v>
      </c>
      <c r="P147" s="12"/>
      <c r="Q147" s="12"/>
      <c r="R147" s="13"/>
      <c r="S147" s="13"/>
      <c r="T147" s="13"/>
      <c r="U147" s="13"/>
    </row>
    <row r="148" spans="1:21" s="2" customFormat="1" ht="15.75" hidden="1" x14ac:dyDescent="0.25">
      <c r="B148" s="22">
        <v>144</v>
      </c>
      <c r="C148" s="89" t="s">
        <v>28</v>
      </c>
      <c r="D148" s="117" t="s">
        <v>33</v>
      </c>
      <c r="E148" s="117" t="s">
        <v>444</v>
      </c>
      <c r="F148" s="118">
        <v>43647</v>
      </c>
      <c r="G148" s="117" t="s">
        <v>298</v>
      </c>
      <c r="H148" s="119" t="s">
        <v>16</v>
      </c>
      <c r="I148" s="90">
        <v>7415.99</v>
      </c>
      <c r="J148" s="90">
        <v>3206.15</v>
      </c>
      <c r="K148" s="91">
        <f t="shared" si="3"/>
        <v>0.5676706683800814</v>
      </c>
      <c r="L148" s="90">
        <v>1174.7</v>
      </c>
      <c r="M148" s="91">
        <f t="shared" si="2"/>
        <v>0.15840096871759538</v>
      </c>
      <c r="N148" s="11">
        <v>1126.49</v>
      </c>
      <c r="O148" s="92">
        <v>0</v>
      </c>
      <c r="P148" s="12"/>
      <c r="Q148" s="12"/>
    </row>
    <row r="149" spans="1:21" s="2" customFormat="1" ht="15.75" hidden="1" x14ac:dyDescent="0.25">
      <c r="B149" s="22">
        <v>145</v>
      </c>
      <c r="C149" s="89" t="s">
        <v>28</v>
      </c>
      <c r="D149" s="89" t="s">
        <v>52</v>
      </c>
      <c r="E149" s="89" t="s">
        <v>444</v>
      </c>
      <c r="F149" s="10">
        <v>43623</v>
      </c>
      <c r="G149" s="89" t="s">
        <v>299</v>
      </c>
      <c r="H149" s="22" t="s">
        <v>16</v>
      </c>
      <c r="I149" s="90">
        <v>6900.58</v>
      </c>
      <c r="J149" s="90">
        <v>3483.23</v>
      </c>
      <c r="K149" s="91">
        <f t="shared" si="3"/>
        <v>0.49522648820823756</v>
      </c>
      <c r="L149" s="90">
        <v>651.83000000000004</v>
      </c>
      <c r="M149" s="91">
        <f t="shared" si="2"/>
        <v>9.4460175811308625E-2</v>
      </c>
      <c r="N149" s="11">
        <v>-51.82</v>
      </c>
      <c r="O149" s="92">
        <v>0</v>
      </c>
      <c r="P149" s="12"/>
      <c r="Q149" s="12"/>
    </row>
    <row r="150" spans="1:21" s="2" customFormat="1" ht="15.75" hidden="1" x14ac:dyDescent="0.25">
      <c r="B150" s="22">
        <v>146</v>
      </c>
      <c r="C150" s="89" t="s">
        <v>28</v>
      </c>
      <c r="D150" s="117" t="s">
        <v>33</v>
      </c>
      <c r="E150" s="117" t="s">
        <v>444</v>
      </c>
      <c r="F150" s="118">
        <v>43577</v>
      </c>
      <c r="G150" s="117" t="s">
        <v>300</v>
      </c>
      <c r="H150" s="22" t="s">
        <v>16</v>
      </c>
      <c r="I150" s="90">
        <v>11368.49</v>
      </c>
      <c r="J150" s="90">
        <v>6374.04</v>
      </c>
      <c r="K150" s="91">
        <f t="shared" si="3"/>
        <v>0.4393239559519338</v>
      </c>
      <c r="L150" s="90">
        <v>910.82</v>
      </c>
      <c r="M150" s="91">
        <f t="shared" si="2"/>
        <v>8.011794002545633E-2</v>
      </c>
      <c r="N150" s="11">
        <v>-47.51</v>
      </c>
      <c r="O150" s="92">
        <v>0</v>
      </c>
      <c r="P150" s="12"/>
      <c r="Q150" s="12"/>
    </row>
    <row r="151" spans="1:21" s="2" customFormat="1" ht="15.75" hidden="1" x14ac:dyDescent="0.25">
      <c r="B151" s="22">
        <v>147</v>
      </c>
      <c r="C151" s="89" t="s">
        <v>38</v>
      </c>
      <c r="D151" s="89" t="s">
        <v>146</v>
      </c>
      <c r="E151" s="89" t="s">
        <v>446</v>
      </c>
      <c r="F151" s="10">
        <v>43552</v>
      </c>
      <c r="G151" s="89" t="s">
        <v>301</v>
      </c>
      <c r="H151" s="22" t="s">
        <v>443</v>
      </c>
      <c r="I151" s="90">
        <v>35527.379999999997</v>
      </c>
      <c r="J151" s="90">
        <v>18333.740000000002</v>
      </c>
      <c r="K151" s="91">
        <f t="shared" si="3"/>
        <v>0.48395462879615658</v>
      </c>
      <c r="L151" s="90">
        <v>3160.99</v>
      </c>
      <c r="M151" s="91">
        <f t="shared" si="2"/>
        <v>8.8973349568698845E-2</v>
      </c>
      <c r="N151" s="11">
        <v>950.18</v>
      </c>
      <c r="O151" s="92">
        <v>0</v>
      </c>
      <c r="P151" s="12"/>
      <c r="Q151" s="12"/>
    </row>
    <row r="152" spans="1:21" s="2" customFormat="1" ht="15.75" hidden="1" x14ac:dyDescent="0.25">
      <c r="B152" s="22">
        <v>148</v>
      </c>
      <c r="C152" s="89" t="s">
        <v>28</v>
      </c>
      <c r="D152" s="89" t="s">
        <v>26</v>
      </c>
      <c r="E152" s="89" t="s">
        <v>449</v>
      </c>
      <c r="F152" s="10">
        <v>43677</v>
      </c>
      <c r="G152" s="89" t="s">
        <v>101</v>
      </c>
      <c r="H152" s="22" t="s">
        <v>104</v>
      </c>
      <c r="I152" s="90">
        <v>2410.1999999999998</v>
      </c>
      <c r="J152" s="90">
        <v>1222.72</v>
      </c>
      <c r="K152" s="91">
        <f t="shared" si="3"/>
        <v>0.49268940336901496</v>
      </c>
      <c r="L152" s="90">
        <v>283.22000000000003</v>
      </c>
      <c r="M152" s="91">
        <f t="shared" si="2"/>
        <v>0.1175089204215418</v>
      </c>
      <c r="N152" s="11">
        <v>166.75</v>
      </c>
      <c r="O152" s="92">
        <v>0</v>
      </c>
      <c r="P152" s="12"/>
      <c r="Q152" s="12"/>
    </row>
    <row r="153" spans="1:21" s="2" customFormat="1" ht="15.75" hidden="1" x14ac:dyDescent="0.25">
      <c r="B153" s="22">
        <v>149</v>
      </c>
      <c r="C153" s="89" t="s">
        <v>41</v>
      </c>
      <c r="D153" s="89" t="s">
        <v>26</v>
      </c>
      <c r="E153" s="89" t="s">
        <v>92</v>
      </c>
      <c r="F153" s="10">
        <v>43614</v>
      </c>
      <c r="G153" s="89" t="s">
        <v>302</v>
      </c>
      <c r="H153" s="22" t="s">
        <v>14</v>
      </c>
      <c r="I153" s="90">
        <v>8821.82</v>
      </c>
      <c r="J153" s="90">
        <v>4032.29</v>
      </c>
      <c r="K153" s="91">
        <f t="shared" si="3"/>
        <v>0.5429185814265084</v>
      </c>
      <c r="L153" s="90">
        <f>927.99+50</f>
        <v>977.99</v>
      </c>
      <c r="M153" s="91">
        <f t="shared" si="2"/>
        <v>0.11086034401064633</v>
      </c>
      <c r="N153" s="11">
        <v>394.52</v>
      </c>
      <c r="O153" s="92">
        <v>50</v>
      </c>
      <c r="P153" s="12"/>
      <c r="Q153" s="12"/>
    </row>
    <row r="154" spans="1:21" s="2" customFormat="1" ht="15.75" hidden="1" x14ac:dyDescent="0.25">
      <c r="B154" s="22">
        <v>150</v>
      </c>
      <c r="C154" s="89" t="s">
        <v>38</v>
      </c>
      <c r="D154" s="89" t="s">
        <v>39</v>
      </c>
      <c r="E154" s="89" t="s">
        <v>144</v>
      </c>
      <c r="F154" s="10">
        <v>43638</v>
      </c>
      <c r="G154" s="89" t="s">
        <v>55</v>
      </c>
      <c r="H154" s="22" t="s">
        <v>18</v>
      </c>
      <c r="I154" s="90">
        <v>21731.41</v>
      </c>
      <c r="J154" s="90">
        <v>8052.34</v>
      </c>
      <c r="K154" s="91">
        <f t="shared" si="3"/>
        <v>0.6294607666966846</v>
      </c>
      <c r="L154" s="90">
        <f>2587.93+O154</f>
        <v>3587.93</v>
      </c>
      <c r="M154" s="91">
        <f t="shared" si="2"/>
        <v>0.16510341482674157</v>
      </c>
      <c r="N154" s="11">
        <v>1364.91</v>
      </c>
      <c r="O154" s="92">
        <v>1000</v>
      </c>
      <c r="P154" s="12"/>
      <c r="Q154" s="12"/>
    </row>
    <row r="155" spans="1:21" s="2" customFormat="1" ht="15.75" hidden="1" x14ac:dyDescent="0.25">
      <c r="B155" s="22">
        <v>151</v>
      </c>
      <c r="C155" s="89" t="s">
        <v>38</v>
      </c>
      <c r="D155" s="89" t="s">
        <v>31</v>
      </c>
      <c r="E155" s="89" t="s">
        <v>15</v>
      </c>
      <c r="F155" s="10">
        <v>43696</v>
      </c>
      <c r="G155" s="89" t="s">
        <v>56</v>
      </c>
      <c r="H155" s="22" t="s">
        <v>13</v>
      </c>
      <c r="I155" s="90">
        <v>16418.669999999998</v>
      </c>
      <c r="J155" s="90">
        <v>6763.66</v>
      </c>
      <c r="K155" s="93">
        <f t="shared" si="3"/>
        <v>0.58805067645552289</v>
      </c>
      <c r="L155" s="90">
        <f>1667.56+O155</f>
        <v>1817.56</v>
      </c>
      <c r="M155" s="91">
        <f t="shared" si="2"/>
        <v>0.11070080585090024</v>
      </c>
      <c r="N155" s="11">
        <v>555.97</v>
      </c>
      <c r="O155" s="92">
        <v>150</v>
      </c>
      <c r="P155" s="12"/>
      <c r="Q155" s="12"/>
    </row>
    <row r="156" spans="1:21" s="2" customFormat="1" ht="15.75" hidden="1" x14ac:dyDescent="0.25">
      <c r="B156" s="22">
        <v>152</v>
      </c>
      <c r="C156" s="89" t="s">
        <v>28</v>
      </c>
      <c r="D156" s="117" t="s">
        <v>33</v>
      </c>
      <c r="E156" s="117" t="s">
        <v>444</v>
      </c>
      <c r="F156" s="118">
        <v>43636</v>
      </c>
      <c r="G156" s="117" t="s">
        <v>303</v>
      </c>
      <c r="H156" s="22" t="s">
        <v>16</v>
      </c>
      <c r="I156" s="90">
        <v>8342.99</v>
      </c>
      <c r="J156" s="90">
        <v>4095.1</v>
      </c>
      <c r="K156" s="91">
        <f t="shared" si="3"/>
        <v>0.50915678911277606</v>
      </c>
      <c r="L156" s="90">
        <v>939.87</v>
      </c>
      <c r="M156" s="91">
        <f t="shared" si="2"/>
        <v>0.11265385671084348</v>
      </c>
      <c r="N156" s="11">
        <v>307.69</v>
      </c>
      <c r="O156" s="92">
        <v>0</v>
      </c>
      <c r="P156" s="12" t="s">
        <v>304</v>
      </c>
      <c r="Q156" s="12"/>
    </row>
    <row r="157" spans="1:21" s="2" customFormat="1" ht="15.75" hidden="1" x14ac:dyDescent="0.25">
      <c r="B157" s="22">
        <v>153</v>
      </c>
      <c r="C157" s="89" t="s">
        <v>28</v>
      </c>
      <c r="D157" s="89" t="s">
        <v>39</v>
      </c>
      <c r="E157" s="89" t="s">
        <v>305</v>
      </c>
      <c r="F157" s="10">
        <v>43644</v>
      </c>
      <c r="G157" s="89" t="s">
        <v>306</v>
      </c>
      <c r="H157" s="22" t="s">
        <v>18</v>
      </c>
      <c r="I157" s="90">
        <v>21320.82</v>
      </c>
      <c r="J157" s="90">
        <v>10835.07</v>
      </c>
      <c r="K157" s="93">
        <f t="shared" si="3"/>
        <v>0.49180800738433139</v>
      </c>
      <c r="L157" s="90">
        <v>2215.21</v>
      </c>
      <c r="M157" s="91">
        <f t="shared" si="2"/>
        <v>0.10389891195554393</v>
      </c>
      <c r="N157" s="11">
        <v>977.32</v>
      </c>
      <c r="O157" s="92">
        <v>0</v>
      </c>
      <c r="P157" s="12"/>
      <c r="Q157" s="12"/>
    </row>
    <row r="158" spans="1:21" s="2" customFormat="1" ht="15.75" hidden="1" x14ac:dyDescent="0.25">
      <c r="B158" s="22">
        <v>154</v>
      </c>
      <c r="C158" s="89" t="s">
        <v>307</v>
      </c>
      <c r="D158" s="89" t="s">
        <v>90</v>
      </c>
      <c r="E158" s="89" t="s">
        <v>449</v>
      </c>
      <c r="F158" s="10">
        <v>43663</v>
      </c>
      <c r="G158" s="89" t="s">
        <v>308</v>
      </c>
      <c r="H158" s="22" t="s">
        <v>20</v>
      </c>
      <c r="I158" s="90">
        <v>25215.93</v>
      </c>
      <c r="J158" s="90">
        <v>17983.45</v>
      </c>
      <c r="K158" s="91">
        <f t="shared" si="3"/>
        <v>0.28682186221170503</v>
      </c>
      <c r="L158" s="90">
        <v>1315.29</v>
      </c>
      <c r="M158" s="91">
        <f t="shared" si="2"/>
        <v>5.2161074368464698E-2</v>
      </c>
      <c r="N158" s="11">
        <v>-4355.57</v>
      </c>
      <c r="O158" s="92">
        <v>836.51</v>
      </c>
      <c r="P158" s="12"/>
      <c r="Q158" s="12"/>
    </row>
    <row r="159" spans="1:21" s="2" customFormat="1" ht="15.75" hidden="1" x14ac:dyDescent="0.25">
      <c r="B159" s="22">
        <v>155</v>
      </c>
      <c r="C159" s="89" t="s">
        <v>28</v>
      </c>
      <c r="D159" s="89" t="s">
        <v>52</v>
      </c>
      <c r="E159" s="89" t="s">
        <v>445</v>
      </c>
      <c r="F159" s="10">
        <v>43654</v>
      </c>
      <c r="G159" s="89" t="s">
        <v>309</v>
      </c>
      <c r="H159" s="22" t="s">
        <v>443</v>
      </c>
      <c r="I159" s="90">
        <v>21304.29</v>
      </c>
      <c r="J159" s="90">
        <v>11310.73</v>
      </c>
      <c r="K159" s="91">
        <f t="shared" si="3"/>
        <v>0.46908674262319938</v>
      </c>
      <c r="L159" s="90">
        <v>2062.86</v>
      </c>
      <c r="M159" s="91">
        <f t="shared" si="2"/>
        <v>9.6828385268882461E-2</v>
      </c>
      <c r="N159" s="11">
        <v>-98.91</v>
      </c>
      <c r="O159" s="92">
        <v>0</v>
      </c>
      <c r="P159" s="12"/>
      <c r="Q159" s="12"/>
    </row>
    <row r="160" spans="1:21" s="2" customFormat="1" ht="15.75" hidden="1" x14ac:dyDescent="0.25">
      <c r="B160" s="22">
        <v>156</v>
      </c>
      <c r="C160" s="89" t="s">
        <v>41</v>
      </c>
      <c r="D160" s="89" t="s">
        <v>146</v>
      </c>
      <c r="E160" s="89" t="s">
        <v>15</v>
      </c>
      <c r="F160" s="10">
        <v>43614</v>
      </c>
      <c r="G160" s="89" t="s">
        <v>89</v>
      </c>
      <c r="H160" s="22" t="s">
        <v>13</v>
      </c>
      <c r="I160" s="90">
        <v>10673.59</v>
      </c>
      <c r="J160" s="90">
        <v>5111.8999999999996</v>
      </c>
      <c r="K160" s="91">
        <f t="shared" si="3"/>
        <v>0.52107023035361111</v>
      </c>
      <c r="L160" s="90">
        <v>916.44</v>
      </c>
      <c r="M160" s="91">
        <f t="shared" si="2"/>
        <v>8.5860521155487521E-2</v>
      </c>
      <c r="N160" s="11">
        <v>-316.06</v>
      </c>
      <c r="O160" s="92">
        <v>0</v>
      </c>
      <c r="P160" s="12"/>
      <c r="Q160" s="12"/>
    </row>
    <row r="161" spans="2:17" s="2" customFormat="1" ht="15.75" hidden="1" x14ac:dyDescent="0.25">
      <c r="B161" s="22">
        <v>157</v>
      </c>
      <c r="C161" s="89" t="s">
        <v>41</v>
      </c>
      <c r="D161" s="89" t="s">
        <v>26</v>
      </c>
      <c r="E161" s="89" t="s">
        <v>448</v>
      </c>
      <c r="F161" s="10">
        <v>43643</v>
      </c>
      <c r="G161" s="89" t="s">
        <v>310</v>
      </c>
      <c r="H161" s="22" t="s">
        <v>14</v>
      </c>
      <c r="I161" s="90">
        <v>12991.29</v>
      </c>
      <c r="J161" s="90">
        <v>6007.54</v>
      </c>
      <c r="K161" s="91">
        <f t="shared" si="3"/>
        <v>0.53757171150824901</v>
      </c>
      <c r="L161" s="90">
        <f>1084.09+O161</f>
        <v>1184.0899999999999</v>
      </c>
      <c r="M161" s="91">
        <f t="shared" si="2"/>
        <v>9.1144913245720771E-2</v>
      </c>
      <c r="N161" s="11">
        <v>-261.11</v>
      </c>
      <c r="O161" s="92">
        <v>100</v>
      </c>
      <c r="P161" s="12"/>
      <c r="Q161" s="12"/>
    </row>
    <row r="162" spans="2:17" s="2" customFormat="1" ht="15.75" hidden="1" x14ac:dyDescent="0.25">
      <c r="B162" s="22">
        <v>158</v>
      </c>
      <c r="C162" s="89" t="s">
        <v>28</v>
      </c>
      <c r="D162" s="89" t="s">
        <v>26</v>
      </c>
      <c r="E162" s="89" t="s">
        <v>88</v>
      </c>
      <c r="F162" s="10">
        <v>43704</v>
      </c>
      <c r="G162" s="89" t="s">
        <v>102</v>
      </c>
      <c r="H162" s="22" t="s">
        <v>60</v>
      </c>
      <c r="I162" s="90">
        <v>18231.93</v>
      </c>
      <c r="J162" s="90">
        <v>7181.02</v>
      </c>
      <c r="K162" s="91">
        <f t="shared" si="3"/>
        <v>0.60612946627153574</v>
      </c>
      <c r="L162" s="90">
        <f>1655.08+O162</f>
        <v>1855.08</v>
      </c>
      <c r="M162" s="91">
        <f t="shared" si="2"/>
        <v>0.10174896459124184</v>
      </c>
      <c r="N162" s="11">
        <v>559.73</v>
      </c>
      <c r="O162" s="92">
        <v>200</v>
      </c>
      <c r="P162" s="12"/>
      <c r="Q162" s="12"/>
    </row>
    <row r="163" spans="2:17" s="2" customFormat="1" ht="15.75" hidden="1" x14ac:dyDescent="0.25">
      <c r="B163" s="22">
        <v>159</v>
      </c>
      <c r="C163" s="89" t="s">
        <v>28</v>
      </c>
      <c r="D163" s="89" t="s">
        <v>31</v>
      </c>
      <c r="E163" s="89" t="s">
        <v>88</v>
      </c>
      <c r="F163" s="10">
        <v>43678</v>
      </c>
      <c r="G163" s="89" t="s">
        <v>311</v>
      </c>
      <c r="H163" s="22" t="s">
        <v>19</v>
      </c>
      <c r="I163" s="90">
        <v>6978.45</v>
      </c>
      <c r="J163" s="90">
        <v>5006.04</v>
      </c>
      <c r="K163" s="91">
        <f t="shared" si="3"/>
        <v>0.28264299378801883</v>
      </c>
      <c r="L163" s="90">
        <v>169.05</v>
      </c>
      <c r="M163" s="91">
        <f t="shared" si="2"/>
        <v>2.4224577090901277E-2</v>
      </c>
      <c r="N163" s="11">
        <v>-1013.98</v>
      </c>
      <c r="O163" s="92">
        <v>0</v>
      </c>
      <c r="P163" s="12"/>
      <c r="Q163" s="12"/>
    </row>
    <row r="164" spans="2:17" s="2" customFormat="1" ht="15.75" hidden="1" x14ac:dyDescent="0.25">
      <c r="B164" s="22">
        <v>160</v>
      </c>
      <c r="C164" s="89" t="s">
        <v>28</v>
      </c>
      <c r="D164" s="89" t="s">
        <v>33</v>
      </c>
      <c r="E164" s="89" t="s">
        <v>88</v>
      </c>
      <c r="F164" s="10">
        <v>43707</v>
      </c>
      <c r="G164" s="89" t="s">
        <v>40</v>
      </c>
      <c r="H164" s="22" t="s">
        <v>30</v>
      </c>
      <c r="I164" s="90">
        <v>8077.87</v>
      </c>
      <c r="J164" s="90">
        <v>3208.09</v>
      </c>
      <c r="K164" s="91">
        <f t="shared" si="3"/>
        <v>0.60285446534791964</v>
      </c>
      <c r="L164" s="90">
        <v>1448.33</v>
      </c>
      <c r="M164" s="91">
        <f t="shared" si="2"/>
        <v>0.17929602729432387</v>
      </c>
      <c r="N164" s="11">
        <v>1858.42</v>
      </c>
      <c r="O164" s="92">
        <v>0</v>
      </c>
      <c r="P164" s="12"/>
      <c r="Q164" s="12"/>
    </row>
    <row r="165" spans="2:17" s="2" customFormat="1" ht="15.75" hidden="1" x14ac:dyDescent="0.25">
      <c r="B165" s="22">
        <v>161</v>
      </c>
      <c r="C165" s="89" t="s">
        <v>28</v>
      </c>
      <c r="D165" s="89" t="s">
        <v>39</v>
      </c>
      <c r="E165" s="89" t="s">
        <v>444</v>
      </c>
      <c r="F165" s="10">
        <v>43664</v>
      </c>
      <c r="G165" s="89" t="s">
        <v>312</v>
      </c>
      <c r="H165" s="22" t="s">
        <v>16</v>
      </c>
      <c r="I165" s="90">
        <v>11703.36</v>
      </c>
      <c r="J165" s="90">
        <v>5232.09</v>
      </c>
      <c r="K165" s="93">
        <f t="shared" si="3"/>
        <v>0.55294120662784019</v>
      </c>
      <c r="L165" s="90">
        <v>1675.48</v>
      </c>
      <c r="M165" s="91">
        <f t="shared" si="2"/>
        <v>0.14316230552593442</v>
      </c>
      <c r="N165" s="11">
        <v>1332.86</v>
      </c>
      <c r="O165" s="92">
        <v>0</v>
      </c>
      <c r="P165" s="12" t="s">
        <v>313</v>
      </c>
      <c r="Q165" s="12"/>
    </row>
    <row r="166" spans="2:17" s="2" customFormat="1" ht="15.75" hidden="1" x14ac:dyDescent="0.25">
      <c r="B166" s="22">
        <v>162</v>
      </c>
      <c r="C166" s="89" t="s">
        <v>28</v>
      </c>
      <c r="D166" s="89" t="s">
        <v>90</v>
      </c>
      <c r="E166" s="89" t="s">
        <v>92</v>
      </c>
      <c r="F166" s="10">
        <v>43691</v>
      </c>
      <c r="G166" s="89" t="s">
        <v>314</v>
      </c>
      <c r="H166" s="22" t="s">
        <v>21</v>
      </c>
      <c r="I166" s="90">
        <v>22915.41</v>
      </c>
      <c r="J166" s="90">
        <v>10794.39</v>
      </c>
      <c r="K166" s="91">
        <f t="shared" si="3"/>
        <v>0.52894624185209871</v>
      </c>
      <c r="L166" s="90">
        <v>2402.65</v>
      </c>
      <c r="M166" s="91">
        <f t="shared" si="2"/>
        <v>0.10484865861007943</v>
      </c>
      <c r="N166" s="11">
        <v>535.01</v>
      </c>
      <c r="O166" s="92">
        <v>0</v>
      </c>
      <c r="P166" s="12"/>
      <c r="Q166" s="12"/>
    </row>
    <row r="167" spans="2:17" s="2" customFormat="1" ht="15.75" hidden="1" x14ac:dyDescent="0.25">
      <c r="B167" s="22">
        <v>163</v>
      </c>
      <c r="C167" s="89" t="s">
        <v>41</v>
      </c>
      <c r="D167" s="89" t="s">
        <v>31</v>
      </c>
      <c r="E167" s="89" t="s">
        <v>88</v>
      </c>
      <c r="F167" s="10">
        <v>43703</v>
      </c>
      <c r="G167" s="89" t="s">
        <v>315</v>
      </c>
      <c r="H167" s="22" t="s">
        <v>19</v>
      </c>
      <c r="I167" s="90">
        <v>9717.93</v>
      </c>
      <c r="J167" s="90">
        <v>5062.2</v>
      </c>
      <c r="K167" s="91">
        <f t="shared" si="3"/>
        <v>0.47908659560214989</v>
      </c>
      <c r="L167" s="90">
        <v>531.85</v>
      </c>
      <c r="M167" s="91">
        <f t="shared" si="2"/>
        <v>5.4728733382520767E-2</v>
      </c>
      <c r="N167" s="11">
        <v>-686.87</v>
      </c>
      <c r="O167" s="92">
        <v>0</v>
      </c>
      <c r="P167" s="12"/>
      <c r="Q167" s="12"/>
    </row>
    <row r="168" spans="2:17" s="2" customFormat="1" ht="15.75" hidden="1" x14ac:dyDescent="0.25">
      <c r="B168" s="22">
        <v>164</v>
      </c>
      <c r="C168" s="89" t="s">
        <v>28</v>
      </c>
      <c r="D168" s="117" t="s">
        <v>33</v>
      </c>
      <c r="E168" s="117" t="s">
        <v>444</v>
      </c>
      <c r="F168" s="118">
        <v>43672</v>
      </c>
      <c r="G168" s="117" t="s">
        <v>87</v>
      </c>
      <c r="H168" s="22" t="s">
        <v>16</v>
      </c>
      <c r="I168" s="90">
        <v>7601.39</v>
      </c>
      <c r="J168" s="90">
        <v>3467.11</v>
      </c>
      <c r="K168" s="91">
        <f t="shared" si="3"/>
        <v>0.54388473687049343</v>
      </c>
      <c r="L168" s="90">
        <v>924.4</v>
      </c>
      <c r="M168" s="91">
        <f t="shared" si="2"/>
        <v>0.12160933723963643</v>
      </c>
      <c r="N168" s="11">
        <v>454.39</v>
      </c>
      <c r="O168" s="92">
        <v>0</v>
      </c>
      <c r="P168" s="12"/>
      <c r="Q168" s="12"/>
    </row>
    <row r="169" spans="2:17" s="2" customFormat="1" ht="15.75" hidden="1" x14ac:dyDescent="0.25">
      <c r="B169" s="22">
        <v>165</v>
      </c>
      <c r="C169" s="89" t="s">
        <v>386</v>
      </c>
      <c r="D169" s="89" t="s">
        <v>31</v>
      </c>
      <c r="E169" s="89" t="s">
        <v>15</v>
      </c>
      <c r="F169" s="10">
        <v>43728</v>
      </c>
      <c r="G169" s="89" t="s">
        <v>316</v>
      </c>
      <c r="H169" s="22" t="s">
        <v>13</v>
      </c>
      <c r="I169" s="90">
        <v>4568</v>
      </c>
      <c r="J169" s="90">
        <v>2008.6</v>
      </c>
      <c r="K169" s="91">
        <f t="shared" si="3"/>
        <v>0.5602889667250438</v>
      </c>
      <c r="L169" s="90">
        <v>507.82</v>
      </c>
      <c r="M169" s="91">
        <f t="shared" si="2"/>
        <v>0.11116900175131349</v>
      </c>
      <c r="N169" s="11">
        <v>188.8</v>
      </c>
      <c r="O169" s="92">
        <v>0</v>
      </c>
      <c r="P169" s="12"/>
      <c r="Q169" s="12"/>
    </row>
    <row r="170" spans="2:17" s="2" customFormat="1" ht="15.75" hidden="1" x14ac:dyDescent="0.25">
      <c r="B170" s="22">
        <v>166</v>
      </c>
      <c r="C170" s="89" t="s">
        <v>112</v>
      </c>
      <c r="D170" s="89" t="s">
        <v>90</v>
      </c>
      <c r="E170" s="89" t="s">
        <v>15</v>
      </c>
      <c r="F170" s="10">
        <v>43734</v>
      </c>
      <c r="G170" s="89" t="s">
        <v>290</v>
      </c>
      <c r="H170" s="22" t="s">
        <v>13</v>
      </c>
      <c r="I170" s="90">
        <v>6069</v>
      </c>
      <c r="J170" s="90">
        <v>2594.42</v>
      </c>
      <c r="K170" s="91">
        <f t="shared" si="3"/>
        <v>0.57251276981380783</v>
      </c>
      <c r="L170" s="90">
        <f>551.88+O170</f>
        <v>601.88</v>
      </c>
      <c r="M170" s="91">
        <f t="shared" si="2"/>
        <v>9.9172845608831772E-2</v>
      </c>
      <c r="N170" s="11">
        <v>-17.5</v>
      </c>
      <c r="O170" s="92">
        <v>50</v>
      </c>
      <c r="P170" s="12"/>
      <c r="Q170" s="12"/>
    </row>
    <row r="171" spans="2:17" s="2" customFormat="1" ht="15.75" hidden="1" x14ac:dyDescent="0.25">
      <c r="B171" s="22">
        <v>167</v>
      </c>
      <c r="C171" s="89" t="s">
        <v>28</v>
      </c>
      <c r="D171" s="89" t="s">
        <v>90</v>
      </c>
      <c r="E171" s="89" t="s">
        <v>15</v>
      </c>
      <c r="F171" s="10">
        <v>43519</v>
      </c>
      <c r="G171" s="89" t="s">
        <v>317</v>
      </c>
      <c r="H171" s="22" t="s">
        <v>13</v>
      </c>
      <c r="I171" s="90">
        <v>16328.16</v>
      </c>
      <c r="J171" s="90">
        <v>11835.11</v>
      </c>
      <c r="K171" s="91">
        <f t="shared" si="3"/>
        <v>0.27517185034933511</v>
      </c>
      <c r="L171" s="90">
        <f>519.66+O171</f>
        <v>732.6099999999999</v>
      </c>
      <c r="M171" s="91">
        <f t="shared" si="2"/>
        <v>4.4867884685108418E-2</v>
      </c>
      <c r="N171" s="11">
        <v>-2721.64</v>
      </c>
      <c r="O171" s="92">
        <v>212.95</v>
      </c>
      <c r="P171" s="12"/>
      <c r="Q171" s="12"/>
    </row>
    <row r="172" spans="2:17" s="2" customFormat="1" ht="15.75" hidden="1" x14ac:dyDescent="0.25">
      <c r="B172" s="22">
        <v>168</v>
      </c>
      <c r="C172" s="89" t="s">
        <v>38</v>
      </c>
      <c r="D172" s="89" t="s">
        <v>39</v>
      </c>
      <c r="E172" s="89" t="s">
        <v>444</v>
      </c>
      <c r="F172" s="10">
        <v>43624</v>
      </c>
      <c r="G172" s="89" t="s">
        <v>108</v>
      </c>
      <c r="H172" s="22" t="s">
        <v>16</v>
      </c>
      <c r="I172" s="90">
        <v>10605.19</v>
      </c>
      <c r="J172" s="90">
        <v>6201.11</v>
      </c>
      <c r="K172" s="91">
        <f t="shared" si="3"/>
        <v>0.41527591679168413</v>
      </c>
      <c r="L172" s="90">
        <f>363.84+O172</f>
        <v>563.83999999999992</v>
      </c>
      <c r="M172" s="91">
        <f t="shared" si="2"/>
        <v>5.316642134652938E-2</v>
      </c>
      <c r="N172" s="11">
        <v>-1671.69</v>
      </c>
      <c r="O172" s="92">
        <v>200</v>
      </c>
      <c r="P172" s="12"/>
      <c r="Q172" s="12"/>
    </row>
    <row r="173" spans="2:17" s="2" customFormat="1" ht="15.75" hidden="1" x14ac:dyDescent="0.25">
      <c r="B173" s="22">
        <v>169</v>
      </c>
      <c r="C173" s="89" t="s">
        <v>38</v>
      </c>
      <c r="D173" s="89" t="s">
        <v>52</v>
      </c>
      <c r="E173" s="89" t="s">
        <v>446</v>
      </c>
      <c r="F173" s="10">
        <v>43663</v>
      </c>
      <c r="G173" s="89" t="s">
        <v>318</v>
      </c>
      <c r="H173" s="22" t="s">
        <v>16</v>
      </c>
      <c r="I173" s="90">
        <v>11527.38</v>
      </c>
      <c r="J173" s="90">
        <v>5711.75</v>
      </c>
      <c r="K173" s="91">
        <f t="shared" si="3"/>
        <v>0.50450579403125428</v>
      </c>
      <c r="L173" s="90">
        <v>1172.3900000000001</v>
      </c>
      <c r="M173" s="91">
        <f t="shared" si="2"/>
        <v>0.10170481063346573</v>
      </c>
      <c r="N173" s="11">
        <v>239.88</v>
      </c>
      <c r="O173" s="92">
        <v>0</v>
      </c>
      <c r="P173" s="12"/>
      <c r="Q173" s="12"/>
    </row>
    <row r="174" spans="2:17" s="2" customFormat="1" ht="15.75" hidden="1" x14ac:dyDescent="0.25">
      <c r="B174" s="22">
        <v>170</v>
      </c>
      <c r="C174" s="89" t="s">
        <v>38</v>
      </c>
      <c r="D174" s="89" t="s">
        <v>39</v>
      </c>
      <c r="E174" s="89" t="s">
        <v>305</v>
      </c>
      <c r="F174" s="10">
        <v>43676</v>
      </c>
      <c r="G174" s="89" t="s">
        <v>319</v>
      </c>
      <c r="H174" s="22" t="s">
        <v>18</v>
      </c>
      <c r="I174" s="90">
        <v>46260.85</v>
      </c>
      <c r="J174" s="90">
        <v>22145.62</v>
      </c>
      <c r="K174" s="91">
        <f t="shared" si="3"/>
        <v>0.52128808701093909</v>
      </c>
      <c r="L174" s="90">
        <f>4380.65+O174</f>
        <v>4680.6499999999996</v>
      </c>
      <c r="M174" s="91">
        <f t="shared" si="2"/>
        <v>0.10117950707779905</v>
      </c>
      <c r="N174" s="11">
        <v>1385.25</v>
      </c>
      <c r="O174" s="92">
        <v>300</v>
      </c>
      <c r="P174" s="12"/>
      <c r="Q174" s="12"/>
    </row>
    <row r="175" spans="2:17" s="2" customFormat="1" ht="15.75" hidden="1" x14ac:dyDescent="0.25">
      <c r="B175" s="22">
        <v>171</v>
      </c>
      <c r="C175" s="89" t="s">
        <v>41</v>
      </c>
      <c r="D175" s="89" t="s">
        <v>33</v>
      </c>
      <c r="E175" s="89" t="s">
        <v>88</v>
      </c>
      <c r="F175" s="10">
        <v>43741</v>
      </c>
      <c r="G175" s="89" t="s">
        <v>320</v>
      </c>
      <c r="H175" s="22" t="s">
        <v>24</v>
      </c>
      <c r="I175" s="90">
        <v>4560.42</v>
      </c>
      <c r="J175" s="90">
        <v>1814.22</v>
      </c>
      <c r="K175" s="91">
        <f t="shared" si="3"/>
        <v>0.60218137803097083</v>
      </c>
      <c r="L175" s="90">
        <v>699.33</v>
      </c>
      <c r="M175" s="91">
        <f t="shared" si="2"/>
        <v>0.15334771797334457</v>
      </c>
      <c r="N175" s="11">
        <v>713.22</v>
      </c>
      <c r="O175" s="92">
        <v>0</v>
      </c>
      <c r="P175" s="12"/>
      <c r="Q175" s="12"/>
    </row>
    <row r="176" spans="2:17" s="2" customFormat="1" ht="15.75" hidden="1" x14ac:dyDescent="0.25">
      <c r="B176" s="22">
        <v>172</v>
      </c>
      <c r="C176" s="89" t="s">
        <v>28</v>
      </c>
      <c r="D176" s="89" t="s">
        <v>26</v>
      </c>
      <c r="E176" s="89" t="s">
        <v>450</v>
      </c>
      <c r="F176" s="10">
        <v>43731</v>
      </c>
      <c r="G176" s="89" t="s">
        <v>321</v>
      </c>
      <c r="H176" s="22" t="s">
        <v>19</v>
      </c>
      <c r="I176" s="90">
        <v>3615.3</v>
      </c>
      <c r="J176" s="90">
        <v>1538.75</v>
      </c>
      <c r="K176" s="91">
        <f t="shared" si="3"/>
        <v>0.57437833651425885</v>
      </c>
      <c r="L176" s="90">
        <v>384.55</v>
      </c>
      <c r="M176" s="91">
        <f t="shared" si="2"/>
        <v>0.10636738306641219</v>
      </c>
      <c r="N176" s="11">
        <v>164.3</v>
      </c>
      <c r="O176" s="92">
        <v>0</v>
      </c>
      <c r="P176" s="12"/>
      <c r="Q176" s="12"/>
    </row>
    <row r="177" spans="2:17" s="2" customFormat="1" ht="15.75" hidden="1" x14ac:dyDescent="0.25">
      <c r="B177" s="22">
        <v>173</v>
      </c>
      <c r="C177" s="89" t="s">
        <v>28</v>
      </c>
      <c r="D177" s="89" t="s">
        <v>26</v>
      </c>
      <c r="E177" s="89" t="s">
        <v>88</v>
      </c>
      <c r="F177" s="10">
        <v>43750</v>
      </c>
      <c r="G177" s="89" t="s">
        <v>322</v>
      </c>
      <c r="H177" s="22" t="s">
        <v>24</v>
      </c>
      <c r="I177" s="90">
        <v>3149.94</v>
      </c>
      <c r="J177" s="90">
        <v>1055.29</v>
      </c>
      <c r="K177" s="91">
        <f t="shared" si="3"/>
        <v>0.66498092027149724</v>
      </c>
      <c r="L177" s="90">
        <f>339.47+O177</f>
        <v>439.47</v>
      </c>
      <c r="M177" s="91">
        <f t="shared" si="2"/>
        <v>0.1395169431798701</v>
      </c>
      <c r="N177" s="11">
        <v>104.94</v>
      </c>
      <c r="O177" s="92">
        <v>100</v>
      </c>
      <c r="P177" s="12"/>
      <c r="Q177" s="12"/>
    </row>
    <row r="178" spans="2:17" s="2" customFormat="1" ht="15.75" hidden="1" x14ac:dyDescent="0.25">
      <c r="B178" s="22">
        <v>174</v>
      </c>
      <c r="C178" s="89" t="s">
        <v>28</v>
      </c>
      <c r="D178" s="117" t="s">
        <v>33</v>
      </c>
      <c r="E178" s="117" t="s">
        <v>444</v>
      </c>
      <c r="F178" s="118">
        <v>43694</v>
      </c>
      <c r="G178" s="117" t="s">
        <v>323</v>
      </c>
      <c r="H178" s="22" t="s">
        <v>16</v>
      </c>
      <c r="I178" s="90">
        <v>13262.57</v>
      </c>
      <c r="J178" s="90">
        <v>6081.69</v>
      </c>
      <c r="K178" s="91">
        <f t="shared" si="3"/>
        <v>0.54143955507869146</v>
      </c>
      <c r="L178" s="90">
        <v>1798.91</v>
      </c>
      <c r="M178" s="91">
        <f t="shared" si="2"/>
        <v>0.13563811538789239</v>
      </c>
      <c r="N178" s="11">
        <v>1225.3699999999999</v>
      </c>
      <c r="O178" s="92">
        <v>0</v>
      </c>
      <c r="P178" s="12"/>
      <c r="Q178" s="12"/>
    </row>
    <row r="179" spans="2:17" s="2" customFormat="1" ht="15.75" hidden="1" x14ac:dyDescent="0.25">
      <c r="B179" s="22">
        <v>175</v>
      </c>
      <c r="C179" s="89" t="s">
        <v>28</v>
      </c>
      <c r="D179" s="89" t="s">
        <v>33</v>
      </c>
      <c r="E179" s="89" t="s">
        <v>15</v>
      </c>
      <c r="F179" s="10">
        <v>43741</v>
      </c>
      <c r="G179" s="89" t="s">
        <v>110</v>
      </c>
      <c r="H179" s="22" t="s">
        <v>13</v>
      </c>
      <c r="I179" s="90">
        <v>10594.67</v>
      </c>
      <c r="J179" s="90">
        <v>4750.6000000000004</v>
      </c>
      <c r="K179" s="91">
        <f t="shared" si="3"/>
        <v>0.55160472199700417</v>
      </c>
      <c r="L179" s="90">
        <f>1105.03+O179</f>
        <v>1205.03</v>
      </c>
      <c r="M179" s="91">
        <f t="shared" si="2"/>
        <v>0.11373926700878838</v>
      </c>
      <c r="N179" s="11">
        <v>175.17</v>
      </c>
      <c r="O179" s="92">
        <v>100</v>
      </c>
      <c r="P179" s="12"/>
      <c r="Q179" s="12"/>
    </row>
    <row r="180" spans="2:17" s="2" customFormat="1" ht="15.75" hidden="1" x14ac:dyDescent="0.25">
      <c r="B180" s="22">
        <v>176</v>
      </c>
      <c r="C180" s="89" t="s">
        <v>324</v>
      </c>
      <c r="D180" s="89" t="s">
        <v>31</v>
      </c>
      <c r="E180" s="89" t="s">
        <v>449</v>
      </c>
      <c r="F180" s="10">
        <v>43738</v>
      </c>
      <c r="G180" s="89" t="s">
        <v>50</v>
      </c>
      <c r="H180" s="22" t="s">
        <v>13</v>
      </c>
      <c r="I180" s="90">
        <v>2902.37</v>
      </c>
      <c r="J180" s="90">
        <v>1567.35</v>
      </c>
      <c r="K180" s="91">
        <f t="shared" si="3"/>
        <v>0.45997581287017164</v>
      </c>
      <c r="L180" s="90">
        <v>334.4</v>
      </c>
      <c r="M180" s="91">
        <f t="shared" si="2"/>
        <v>0.11521618539331649</v>
      </c>
      <c r="N180" s="11">
        <v>171.67</v>
      </c>
      <c r="O180" s="92">
        <v>0</v>
      </c>
      <c r="P180" s="12"/>
      <c r="Q180" s="12"/>
    </row>
    <row r="181" spans="2:17" s="2" customFormat="1" ht="15.75" hidden="1" x14ac:dyDescent="0.25">
      <c r="B181" s="22">
        <v>177</v>
      </c>
      <c r="C181" s="89" t="s">
        <v>28</v>
      </c>
      <c r="D181" s="89" t="s">
        <v>146</v>
      </c>
      <c r="E181" s="89" t="s">
        <v>444</v>
      </c>
      <c r="F181" s="10">
        <v>43515</v>
      </c>
      <c r="G181" s="89" t="s">
        <v>103</v>
      </c>
      <c r="H181" s="22" t="s">
        <v>16</v>
      </c>
      <c r="I181" s="90">
        <v>6906.14</v>
      </c>
      <c r="J181" s="90">
        <v>4687.1099999999997</v>
      </c>
      <c r="K181" s="93">
        <f t="shared" si="3"/>
        <v>0.32131262905182933</v>
      </c>
      <c r="L181" s="90">
        <f>405.8</f>
        <v>405.8</v>
      </c>
      <c r="M181" s="91">
        <f>L181/I181</f>
        <v>5.8759306935567482E-2</v>
      </c>
      <c r="N181" s="11">
        <v>-986.36</v>
      </c>
      <c r="O181" s="92">
        <v>127.23</v>
      </c>
      <c r="P181" s="12"/>
      <c r="Q181" s="12"/>
    </row>
    <row r="182" spans="2:17" s="2" customFormat="1" ht="15.75" hidden="1" x14ac:dyDescent="0.25">
      <c r="B182" s="22">
        <v>178</v>
      </c>
      <c r="C182" s="89" t="s">
        <v>28</v>
      </c>
      <c r="D182" s="117" t="s">
        <v>33</v>
      </c>
      <c r="E182" s="117" t="s">
        <v>444</v>
      </c>
      <c r="F182" s="118">
        <v>43666</v>
      </c>
      <c r="G182" s="117" t="s">
        <v>325</v>
      </c>
      <c r="H182" s="119" t="s">
        <v>16</v>
      </c>
      <c r="I182" s="90">
        <v>7387.32</v>
      </c>
      <c r="J182" s="90">
        <v>2881.43</v>
      </c>
      <c r="K182" s="91">
        <f t="shared" si="3"/>
        <v>0.60994921026840576</v>
      </c>
      <c r="L182" s="90">
        <v>1063.76</v>
      </c>
      <c r="M182" s="91">
        <f t="shared" si="2"/>
        <v>0.14399809403139435</v>
      </c>
      <c r="N182" s="11">
        <v>856.32</v>
      </c>
      <c r="O182" s="92">
        <v>0</v>
      </c>
      <c r="P182" s="12"/>
      <c r="Q182" s="12"/>
    </row>
    <row r="183" spans="2:17" s="2" customFormat="1" ht="15.75" hidden="1" x14ac:dyDescent="0.25">
      <c r="B183" s="22">
        <v>179</v>
      </c>
      <c r="C183" s="89" t="s">
        <v>57</v>
      </c>
      <c r="D183" s="89" t="s">
        <v>26</v>
      </c>
      <c r="E183" s="89" t="s">
        <v>88</v>
      </c>
      <c r="F183" s="10">
        <v>43685</v>
      </c>
      <c r="G183" s="89" t="s">
        <v>326</v>
      </c>
      <c r="H183" s="22" t="s">
        <v>14</v>
      </c>
      <c r="I183" s="90">
        <v>10734</v>
      </c>
      <c r="J183" s="90">
        <v>4161</v>
      </c>
      <c r="K183" s="91">
        <f t="shared" si="3"/>
        <v>0.61235326998323081</v>
      </c>
      <c r="L183" s="90">
        <f>1195.35+O183</f>
        <v>1395.35</v>
      </c>
      <c r="M183" s="91">
        <f t="shared" si="2"/>
        <v>0.12999347866592137</v>
      </c>
      <c r="N183" s="11">
        <v>643.5</v>
      </c>
      <c r="O183" s="92">
        <v>200</v>
      </c>
      <c r="P183" s="12"/>
      <c r="Q183" s="12"/>
    </row>
    <row r="184" spans="2:17" s="2" customFormat="1" ht="15.75" hidden="1" x14ac:dyDescent="0.25">
      <c r="B184" s="22">
        <v>180</v>
      </c>
      <c r="C184" s="89" t="s">
        <v>28</v>
      </c>
      <c r="D184" s="120" t="s">
        <v>33</v>
      </c>
      <c r="E184" s="120" t="s">
        <v>327</v>
      </c>
      <c r="F184" s="121">
        <v>43714</v>
      </c>
      <c r="G184" s="120" t="s">
        <v>86</v>
      </c>
      <c r="H184" s="122" t="s">
        <v>16</v>
      </c>
      <c r="I184" s="90">
        <v>7786.79</v>
      </c>
      <c r="J184" s="90">
        <v>3014.34</v>
      </c>
      <c r="K184" s="91">
        <f t="shared" si="3"/>
        <v>0.61289054925071818</v>
      </c>
      <c r="L184" s="90">
        <v>947.94</v>
      </c>
      <c r="M184" s="91">
        <f t="shared" si="2"/>
        <v>0.12173694166659176</v>
      </c>
      <c r="N184" s="11">
        <v>466.89</v>
      </c>
      <c r="O184" s="92">
        <v>0</v>
      </c>
      <c r="P184" s="12"/>
      <c r="Q184" s="12"/>
    </row>
    <row r="185" spans="2:17" s="2" customFormat="1" ht="15.75" hidden="1" x14ac:dyDescent="0.25">
      <c r="B185" s="22">
        <v>181</v>
      </c>
      <c r="C185" s="89" t="s">
        <v>28</v>
      </c>
      <c r="D185" s="89" t="s">
        <v>31</v>
      </c>
      <c r="E185" s="89" t="s">
        <v>92</v>
      </c>
      <c r="F185" s="10">
        <v>43594</v>
      </c>
      <c r="G185" s="89" t="s">
        <v>328</v>
      </c>
      <c r="H185" s="22" t="s">
        <v>14</v>
      </c>
      <c r="I185" s="90">
        <v>7336.27</v>
      </c>
      <c r="J185" s="90">
        <v>4138.7700000000004</v>
      </c>
      <c r="K185" s="91">
        <f t="shared" si="3"/>
        <v>0.43584818988396007</v>
      </c>
      <c r="L185" s="90">
        <v>604.37</v>
      </c>
      <c r="M185" s="91">
        <f t="shared" si="2"/>
        <v>8.2381101022726805E-2</v>
      </c>
      <c r="N185" s="11">
        <v>-193.63</v>
      </c>
      <c r="O185" s="92">
        <v>0</v>
      </c>
      <c r="P185" s="12"/>
      <c r="Q185" s="12"/>
    </row>
    <row r="186" spans="2:17" s="2" customFormat="1" ht="15.75" hidden="1" x14ac:dyDescent="0.25">
      <c r="B186" s="22">
        <v>182</v>
      </c>
      <c r="C186" s="89" t="s">
        <v>28</v>
      </c>
      <c r="D186" s="89" t="s">
        <v>90</v>
      </c>
      <c r="E186" s="89" t="s">
        <v>449</v>
      </c>
      <c r="F186" s="10">
        <v>43672</v>
      </c>
      <c r="G186" s="89" t="s">
        <v>329</v>
      </c>
      <c r="H186" s="22" t="s">
        <v>20</v>
      </c>
      <c r="I186" s="90">
        <v>4622.0200000000004</v>
      </c>
      <c r="J186" s="90">
        <v>2880.26</v>
      </c>
      <c r="K186" s="91">
        <f t="shared" si="3"/>
        <v>0.3768395636539868</v>
      </c>
      <c r="L186" s="90">
        <f>162.1+54.63</f>
        <v>216.73</v>
      </c>
      <c r="M186" s="91">
        <f>L186/I186</f>
        <v>4.6890753393537883E-2</v>
      </c>
      <c r="N186" s="11">
        <v>-699.86</v>
      </c>
      <c r="O186" s="92">
        <v>200</v>
      </c>
      <c r="P186" s="12"/>
      <c r="Q186" s="12"/>
    </row>
    <row r="187" spans="2:17" s="2" customFormat="1" ht="15.75" hidden="1" x14ac:dyDescent="0.25">
      <c r="B187" s="22">
        <v>183</v>
      </c>
      <c r="C187" s="89" t="s">
        <v>28</v>
      </c>
      <c r="D187" s="89" t="s">
        <v>90</v>
      </c>
      <c r="E187" s="89" t="s">
        <v>449</v>
      </c>
      <c r="F187" s="10">
        <v>43675</v>
      </c>
      <c r="G187" s="89" t="s">
        <v>330</v>
      </c>
      <c r="H187" s="22" t="s">
        <v>20</v>
      </c>
      <c r="I187" s="90">
        <v>8586.7900000000009</v>
      </c>
      <c r="J187" s="90">
        <v>5587.56</v>
      </c>
      <c r="K187" s="91">
        <f t="shared" si="3"/>
        <v>0.34928419118203663</v>
      </c>
      <c r="L187" s="90">
        <v>386.49</v>
      </c>
      <c r="M187" s="91">
        <f t="shared" si="2"/>
        <v>4.5009834874266165E-2</v>
      </c>
      <c r="N187" s="11">
        <v>-1184.03</v>
      </c>
      <c r="O187" s="92">
        <v>395.99</v>
      </c>
      <c r="P187" s="12"/>
      <c r="Q187" s="12"/>
    </row>
    <row r="188" spans="2:17" s="2" customFormat="1" ht="15.75" hidden="1" x14ac:dyDescent="0.25">
      <c r="B188" s="22">
        <v>184</v>
      </c>
      <c r="C188" s="89" t="s">
        <v>41</v>
      </c>
      <c r="D188" s="89" t="s">
        <v>52</v>
      </c>
      <c r="E188" s="89" t="s">
        <v>327</v>
      </c>
      <c r="F188" s="10">
        <v>43700</v>
      </c>
      <c r="G188" s="89" t="s">
        <v>331</v>
      </c>
      <c r="H188" s="22" t="s">
        <v>16</v>
      </c>
      <c r="I188" s="90">
        <v>6880.03</v>
      </c>
      <c r="J188" s="90">
        <v>3932.25</v>
      </c>
      <c r="K188" s="91">
        <f t="shared" si="3"/>
        <v>0.42845452708781789</v>
      </c>
      <c r="L188" s="90">
        <v>623.64</v>
      </c>
      <c r="M188" s="91">
        <f t="shared" si="2"/>
        <v>9.0644953583051233E-2</v>
      </c>
      <c r="N188" s="11">
        <v>-117.17</v>
      </c>
      <c r="O188" s="92">
        <v>0</v>
      </c>
      <c r="P188" s="12"/>
      <c r="Q188" s="12"/>
    </row>
    <row r="189" spans="2:17" s="2" customFormat="1" ht="15.75" hidden="1" x14ac:dyDescent="0.25">
      <c r="B189" s="22">
        <v>185</v>
      </c>
      <c r="C189" s="89" t="s">
        <v>332</v>
      </c>
      <c r="D189" s="89" t="s">
        <v>52</v>
      </c>
      <c r="E189" s="89" t="s">
        <v>444</v>
      </c>
      <c r="F189" s="10">
        <v>43687</v>
      </c>
      <c r="G189" s="89" t="s">
        <v>333</v>
      </c>
      <c r="H189" s="22" t="s">
        <v>16</v>
      </c>
      <c r="I189" s="90">
        <v>12170.49</v>
      </c>
      <c r="J189" s="90">
        <v>7348.36</v>
      </c>
      <c r="K189" s="91">
        <f t="shared" si="3"/>
        <v>0.39621494286589942</v>
      </c>
      <c r="L189" s="90">
        <v>940.56</v>
      </c>
      <c r="M189" s="91">
        <f t="shared" si="2"/>
        <v>7.7282015761074532E-2</v>
      </c>
      <c r="N189" s="11">
        <v>-576.16</v>
      </c>
      <c r="O189" s="92">
        <v>0</v>
      </c>
      <c r="P189" s="12"/>
      <c r="Q189" s="12"/>
    </row>
    <row r="190" spans="2:17" s="2" customFormat="1" ht="15.75" hidden="1" x14ac:dyDescent="0.25">
      <c r="B190" s="22">
        <v>186</v>
      </c>
      <c r="C190" s="89" t="s">
        <v>28</v>
      </c>
      <c r="D190" s="89" t="s">
        <v>90</v>
      </c>
      <c r="E190" s="89" t="s">
        <v>92</v>
      </c>
      <c r="F190" s="10">
        <v>43726</v>
      </c>
      <c r="G190" s="89" t="s">
        <v>334</v>
      </c>
      <c r="H190" s="22" t="s">
        <v>30</v>
      </c>
      <c r="I190" s="90">
        <v>10289.69</v>
      </c>
      <c r="J190" s="90">
        <v>6000.36</v>
      </c>
      <c r="K190" s="91">
        <f t="shared" si="3"/>
        <v>0.41685706760845087</v>
      </c>
      <c r="L190" s="90">
        <f>6.84+O190</f>
        <v>206.84</v>
      </c>
      <c r="M190" s="91">
        <f t="shared" si="2"/>
        <v>2.0101674588836008E-2</v>
      </c>
      <c r="N190" s="11">
        <v>-2338.31</v>
      </c>
      <c r="O190" s="92">
        <v>200</v>
      </c>
      <c r="P190" s="12"/>
      <c r="Q190" s="12"/>
    </row>
    <row r="191" spans="2:17" s="2" customFormat="1" ht="15.75" hidden="1" x14ac:dyDescent="0.25">
      <c r="B191" s="22">
        <v>187</v>
      </c>
      <c r="C191" s="89" t="s">
        <v>28</v>
      </c>
      <c r="D191" s="89" t="s">
        <v>52</v>
      </c>
      <c r="E191" s="89" t="s">
        <v>327</v>
      </c>
      <c r="F191" s="10">
        <v>43713</v>
      </c>
      <c r="G191" s="89" t="s">
        <v>335</v>
      </c>
      <c r="H191" s="22" t="s">
        <v>16</v>
      </c>
      <c r="I191" s="90">
        <v>5950.41</v>
      </c>
      <c r="J191" s="90">
        <v>2942.97</v>
      </c>
      <c r="K191" s="91">
        <f t="shared" si="3"/>
        <v>0.50541727376768997</v>
      </c>
      <c r="L191" s="90">
        <v>619</v>
      </c>
      <c r="M191" s="91">
        <f t="shared" si="2"/>
        <v>0.10402644523654672</v>
      </c>
      <c r="N191" s="11">
        <v>129.91</v>
      </c>
      <c r="O191" s="92">
        <v>0</v>
      </c>
      <c r="P191" s="12"/>
      <c r="Q191" s="12"/>
    </row>
    <row r="192" spans="2:17" s="2" customFormat="1" ht="15.75" hidden="1" x14ac:dyDescent="0.25">
      <c r="B192" s="22">
        <v>188</v>
      </c>
      <c r="C192" s="89" t="s">
        <v>28</v>
      </c>
      <c r="D192" s="89" t="s">
        <v>26</v>
      </c>
      <c r="E192" s="89" t="s">
        <v>92</v>
      </c>
      <c r="F192" s="10">
        <v>43637</v>
      </c>
      <c r="G192" s="89" t="s">
        <v>336</v>
      </c>
      <c r="H192" s="22" t="s">
        <v>438</v>
      </c>
      <c r="I192" s="90">
        <v>37028.04</v>
      </c>
      <c r="J192" s="90">
        <v>18715.86</v>
      </c>
      <c r="K192" s="91">
        <f t="shared" si="3"/>
        <v>0.49454899584206996</v>
      </c>
      <c r="L192" s="90">
        <v>3741.92</v>
      </c>
      <c r="M192" s="91">
        <f t="shared" si="2"/>
        <v>0.10105638861792307</v>
      </c>
      <c r="N192" s="11">
        <v>593.04</v>
      </c>
      <c r="O192" s="92">
        <v>0</v>
      </c>
      <c r="P192" s="12"/>
      <c r="Q192" s="12"/>
    </row>
    <row r="193" spans="2:21" s="2" customFormat="1" ht="15.75" hidden="1" x14ac:dyDescent="0.25">
      <c r="B193" s="22">
        <v>189</v>
      </c>
      <c r="C193" s="89" t="s">
        <v>28</v>
      </c>
      <c r="D193" s="89" t="s">
        <v>90</v>
      </c>
      <c r="E193" s="89" t="s">
        <v>15</v>
      </c>
      <c r="F193" s="10">
        <v>43725</v>
      </c>
      <c r="G193" s="89" t="s">
        <v>337</v>
      </c>
      <c r="H193" s="22" t="s">
        <v>20</v>
      </c>
      <c r="I193" s="90">
        <v>5155.1400000000003</v>
      </c>
      <c r="J193" s="90">
        <v>3070.56</v>
      </c>
      <c r="K193" s="91">
        <f t="shared" si="3"/>
        <v>0.40436923148546894</v>
      </c>
      <c r="L193" s="90">
        <v>309.70999999999998</v>
      </c>
      <c r="M193" s="91">
        <f t="shared" si="2"/>
        <v>6.0077902830960934E-2</v>
      </c>
      <c r="N193" s="11">
        <v>-453.26</v>
      </c>
      <c r="O193" s="92">
        <v>0</v>
      </c>
      <c r="P193" s="12"/>
      <c r="Q193" s="12"/>
    </row>
    <row r="194" spans="2:21" s="2" customFormat="1" ht="15.75" hidden="1" x14ac:dyDescent="0.25">
      <c r="B194" s="22">
        <v>190</v>
      </c>
      <c r="C194" s="89" t="s">
        <v>28</v>
      </c>
      <c r="D194" s="89" t="s">
        <v>31</v>
      </c>
      <c r="E194" s="89" t="s">
        <v>15</v>
      </c>
      <c r="F194" s="10">
        <v>43756</v>
      </c>
      <c r="G194" s="89" t="s">
        <v>338</v>
      </c>
      <c r="H194" s="22" t="s">
        <v>13</v>
      </c>
      <c r="I194" s="90">
        <v>5770.57</v>
      </c>
      <c r="J194" s="90">
        <v>2410.3000000000002</v>
      </c>
      <c r="K194" s="91">
        <f t="shared" si="3"/>
        <v>0.58231162606120357</v>
      </c>
      <c r="L194" s="90">
        <v>788.36</v>
      </c>
      <c r="M194" s="91">
        <f t="shared" si="2"/>
        <v>0.13661735322507138</v>
      </c>
      <c r="N194" s="11">
        <v>664.77</v>
      </c>
      <c r="O194" s="92">
        <v>0</v>
      </c>
      <c r="P194" s="12"/>
      <c r="Q194" s="12"/>
    </row>
    <row r="195" spans="2:21" s="2" customFormat="1" ht="15.75" hidden="1" x14ac:dyDescent="0.25">
      <c r="B195" s="22">
        <v>191</v>
      </c>
      <c r="C195" s="89" t="s">
        <v>28</v>
      </c>
      <c r="D195" s="89" t="s">
        <v>52</v>
      </c>
      <c r="E195" s="89" t="s">
        <v>15</v>
      </c>
      <c r="F195" s="10">
        <v>43746</v>
      </c>
      <c r="G195" s="89" t="s">
        <v>339</v>
      </c>
      <c r="H195" s="22" t="s">
        <v>13</v>
      </c>
      <c r="I195" s="90">
        <v>12499.65</v>
      </c>
      <c r="J195" s="90">
        <v>5570.29</v>
      </c>
      <c r="K195" s="91">
        <f t="shared" si="3"/>
        <v>0.55436432220102161</v>
      </c>
      <c r="L195" s="90">
        <v>1629.97</v>
      </c>
      <c r="M195" s="91">
        <f t="shared" si="2"/>
        <v>0.1304012512350346</v>
      </c>
      <c r="N195" s="11">
        <v>1011.25</v>
      </c>
      <c r="O195" s="92">
        <v>0</v>
      </c>
      <c r="P195" s="12"/>
      <c r="Q195" s="12"/>
    </row>
    <row r="196" spans="2:21" s="2" customFormat="1" ht="15.75" hidden="1" x14ac:dyDescent="0.25">
      <c r="B196" s="22">
        <v>192</v>
      </c>
      <c r="C196" s="89" t="s">
        <v>28</v>
      </c>
      <c r="D196" s="89" t="s">
        <v>52</v>
      </c>
      <c r="E196" s="89" t="s">
        <v>15</v>
      </c>
      <c r="F196" s="10">
        <v>43753</v>
      </c>
      <c r="G196" s="89" t="s">
        <v>340</v>
      </c>
      <c r="H196" s="22" t="s">
        <v>13</v>
      </c>
      <c r="I196" s="90">
        <v>5515.64</v>
      </c>
      <c r="J196" s="90">
        <v>1784.55</v>
      </c>
      <c r="K196" s="91">
        <f t="shared" si="3"/>
        <v>0.67645640397125262</v>
      </c>
      <c r="L196" s="90">
        <v>1077.68</v>
      </c>
      <c r="M196" s="91">
        <f t="shared" si="2"/>
        <v>0.19538621084769855</v>
      </c>
      <c r="N196" s="11">
        <v>1429.04</v>
      </c>
      <c r="O196" s="92">
        <v>0</v>
      </c>
      <c r="P196" s="12"/>
      <c r="Q196" s="12"/>
    </row>
    <row r="197" spans="2:21" s="2" customFormat="1" ht="15.75" hidden="1" x14ac:dyDescent="0.25">
      <c r="B197" s="22">
        <v>193</v>
      </c>
      <c r="C197" s="89" t="s">
        <v>28</v>
      </c>
      <c r="D197" s="89" t="s">
        <v>52</v>
      </c>
      <c r="E197" s="89" t="s">
        <v>327</v>
      </c>
      <c r="F197" s="10">
        <v>43731</v>
      </c>
      <c r="G197" s="89" t="s">
        <v>341</v>
      </c>
      <c r="H197" s="22" t="s">
        <v>16</v>
      </c>
      <c r="I197" s="90">
        <v>5718.96</v>
      </c>
      <c r="J197" s="90">
        <v>3083.3</v>
      </c>
      <c r="K197" s="91">
        <f t="shared" si="3"/>
        <v>0.46086351364583766</v>
      </c>
      <c r="L197" s="90">
        <v>589.38</v>
      </c>
      <c r="M197" s="91">
        <f t="shared" si="2"/>
        <v>0.10305719921104536</v>
      </c>
      <c r="N197" s="11">
        <v>87.46</v>
      </c>
      <c r="O197" s="92">
        <v>0</v>
      </c>
      <c r="P197" s="12"/>
      <c r="Q197" s="12"/>
    </row>
    <row r="198" spans="2:21" s="2" customFormat="1" ht="15.75" hidden="1" x14ac:dyDescent="0.25">
      <c r="B198" s="22">
        <v>194</v>
      </c>
      <c r="C198" s="89" t="s">
        <v>28</v>
      </c>
      <c r="D198" s="89" t="s">
        <v>52</v>
      </c>
      <c r="E198" s="89" t="s">
        <v>15</v>
      </c>
      <c r="F198" s="10">
        <v>43771</v>
      </c>
      <c r="G198" s="89" t="s">
        <v>342</v>
      </c>
      <c r="H198" s="22" t="s">
        <v>13</v>
      </c>
      <c r="I198" s="90">
        <v>4564.54</v>
      </c>
      <c r="J198" s="90">
        <v>2114.21</v>
      </c>
      <c r="K198" s="91">
        <f t="shared" si="3"/>
        <v>0.53681860603697196</v>
      </c>
      <c r="L198" s="90">
        <f>452.05+O198</f>
        <v>502.05</v>
      </c>
      <c r="M198" s="91">
        <f t="shared" si="2"/>
        <v>0.10998917744175755</v>
      </c>
      <c r="N198" s="11">
        <v>50.24</v>
      </c>
      <c r="O198" s="92">
        <v>50</v>
      </c>
      <c r="P198" s="12"/>
      <c r="Q198" s="12"/>
    </row>
    <row r="199" spans="2:21" s="2" customFormat="1" ht="15.75" hidden="1" x14ac:dyDescent="0.25">
      <c r="B199" s="22">
        <v>195</v>
      </c>
      <c r="C199" s="89" t="s">
        <v>28</v>
      </c>
      <c r="D199" s="89" t="s">
        <v>31</v>
      </c>
      <c r="E199" s="89" t="s">
        <v>449</v>
      </c>
      <c r="F199" s="10">
        <v>43717</v>
      </c>
      <c r="G199" s="89" t="s">
        <v>37</v>
      </c>
      <c r="H199" s="22" t="s">
        <v>13</v>
      </c>
      <c r="I199" s="90">
        <v>1772.42</v>
      </c>
      <c r="J199" s="90">
        <v>656.45</v>
      </c>
      <c r="K199" s="91">
        <f t="shared" si="3"/>
        <v>0.6296306744451089</v>
      </c>
      <c r="L199" s="90">
        <v>218.83</v>
      </c>
      <c r="M199" s="91">
        <f t="shared" si="2"/>
        <v>0.12346396452308143</v>
      </c>
      <c r="N199" s="11">
        <v>165.22</v>
      </c>
      <c r="O199" s="92">
        <v>0</v>
      </c>
      <c r="P199" s="12"/>
      <c r="Q199" s="12"/>
    </row>
    <row r="200" spans="2:21" s="2" customFormat="1" ht="15.75" hidden="1" x14ac:dyDescent="0.25">
      <c r="B200" s="22">
        <v>196</v>
      </c>
      <c r="C200" s="89" t="s">
        <v>28</v>
      </c>
      <c r="D200" s="89" t="s">
        <v>26</v>
      </c>
      <c r="E200" s="89" t="s">
        <v>448</v>
      </c>
      <c r="F200" s="10">
        <v>43606</v>
      </c>
      <c r="G200" s="89" t="s">
        <v>343</v>
      </c>
      <c r="H200" s="22" t="s">
        <v>60</v>
      </c>
      <c r="I200" s="90">
        <v>58447.28</v>
      </c>
      <c r="J200" s="90">
        <v>29621.73</v>
      </c>
      <c r="K200" s="91">
        <f t="shared" si="3"/>
        <v>0.49318890459915327</v>
      </c>
      <c r="L200" s="90">
        <f>3423.67+O200</f>
        <v>4423.67</v>
      </c>
      <c r="M200" s="91">
        <f t="shared" si="2"/>
        <v>7.5686499012443356E-2</v>
      </c>
      <c r="N200" s="11">
        <v>1272.52</v>
      </c>
      <c r="O200" s="92">
        <v>1000</v>
      </c>
      <c r="P200" s="12"/>
      <c r="Q200" s="12"/>
    </row>
    <row r="201" spans="2:21" s="2" customFormat="1" ht="15.75" hidden="1" x14ac:dyDescent="0.25">
      <c r="B201" s="22">
        <v>197</v>
      </c>
      <c r="C201" s="89" t="s">
        <v>28</v>
      </c>
      <c r="D201" s="89" t="s">
        <v>52</v>
      </c>
      <c r="E201" s="89" t="s">
        <v>444</v>
      </c>
      <c r="F201" s="10">
        <v>43726</v>
      </c>
      <c r="G201" s="89" t="s">
        <v>344</v>
      </c>
      <c r="H201" s="22" t="s">
        <v>16</v>
      </c>
      <c r="I201" s="90">
        <v>5886.44</v>
      </c>
      <c r="J201" s="90">
        <f>3142.91+74.11</f>
        <v>3217.02</v>
      </c>
      <c r="K201" s="91">
        <f>(I201-J201)/I201</f>
        <v>0.45348631770645753</v>
      </c>
      <c r="L201" s="90">
        <v>630</v>
      </c>
      <c r="M201" s="91">
        <f t="shared" si="2"/>
        <v>0.10702563858631024</v>
      </c>
      <c r="N201" s="11">
        <v>147.13999999999999</v>
      </c>
      <c r="O201" s="92">
        <v>0</v>
      </c>
      <c r="P201" s="12"/>
      <c r="Q201" s="12"/>
    </row>
    <row r="202" spans="2:21" s="2" customFormat="1" ht="15.75" hidden="1" x14ac:dyDescent="0.25">
      <c r="B202" s="22">
        <v>198</v>
      </c>
      <c r="C202" s="89" t="s">
        <v>28</v>
      </c>
      <c r="D202" s="89" t="s">
        <v>39</v>
      </c>
      <c r="E202" s="89" t="s">
        <v>305</v>
      </c>
      <c r="F202" s="10">
        <v>43699</v>
      </c>
      <c r="G202" s="89" t="s">
        <v>345</v>
      </c>
      <c r="H202" s="22" t="s">
        <v>18</v>
      </c>
      <c r="I202" s="90">
        <v>31286.21</v>
      </c>
      <c r="J202" s="90">
        <v>17721.46</v>
      </c>
      <c r="K202" s="91">
        <f t="shared" si="3"/>
        <v>0.43356961421661494</v>
      </c>
      <c r="L202" s="2">
        <v>2696.44</v>
      </c>
      <c r="M202" s="91">
        <f t="shared" si="2"/>
        <v>8.618621430975501E-2</v>
      </c>
      <c r="N202" s="11">
        <v>240.51</v>
      </c>
      <c r="O202" s="92">
        <v>0</v>
      </c>
      <c r="P202" s="12"/>
      <c r="Q202" s="12"/>
      <c r="U202" s="9"/>
    </row>
    <row r="203" spans="2:21" s="2" customFormat="1" ht="15.75" hidden="1" x14ac:dyDescent="0.25">
      <c r="B203" s="22">
        <v>199</v>
      </c>
      <c r="C203" s="89" t="s">
        <v>28</v>
      </c>
      <c r="D203" s="89" t="s">
        <v>39</v>
      </c>
      <c r="E203" s="89" t="s">
        <v>305</v>
      </c>
      <c r="F203" s="10">
        <v>43706</v>
      </c>
      <c r="G203" s="89" t="s">
        <v>346</v>
      </c>
      <c r="H203" s="22" t="s">
        <v>18</v>
      </c>
      <c r="I203" s="90">
        <v>20857.47</v>
      </c>
      <c r="J203" s="90">
        <v>10724.43</v>
      </c>
      <c r="K203" s="91">
        <f t="shared" si="3"/>
        <v>0.48582306483001053</v>
      </c>
      <c r="L203" s="90">
        <v>2468.69</v>
      </c>
      <c r="M203" s="91">
        <f t="shared" si="2"/>
        <v>0.11835999284668754</v>
      </c>
      <c r="N203" s="11">
        <v>1670.47</v>
      </c>
      <c r="O203" s="92">
        <v>0</v>
      </c>
      <c r="P203" s="12"/>
      <c r="Q203" s="12"/>
    </row>
    <row r="204" spans="2:21" s="2" customFormat="1" ht="15.75" hidden="1" x14ac:dyDescent="0.25">
      <c r="B204" s="22">
        <v>200</v>
      </c>
      <c r="C204" s="89" t="s">
        <v>28</v>
      </c>
      <c r="D204" s="89" t="s">
        <v>31</v>
      </c>
      <c r="E204" s="89" t="s">
        <v>444</v>
      </c>
      <c r="F204" s="10">
        <v>43603</v>
      </c>
      <c r="G204" s="89" t="s">
        <v>36</v>
      </c>
      <c r="H204" s="22" t="s">
        <v>443</v>
      </c>
      <c r="I204" s="90">
        <v>21478.880000000001</v>
      </c>
      <c r="J204" s="90">
        <v>12423.11</v>
      </c>
      <c r="K204" s="91">
        <f t="shared" si="3"/>
        <v>0.42161276565630984</v>
      </c>
      <c r="L204" s="90">
        <f>739.9+O204</f>
        <v>1139.9000000000001</v>
      </c>
      <c r="M204" s="91">
        <f t="shared" si="2"/>
        <v>5.3070737394128563E-2</v>
      </c>
      <c r="N204" s="11">
        <v>-2891.38</v>
      </c>
      <c r="O204" s="92">
        <v>400</v>
      </c>
      <c r="P204" s="12"/>
      <c r="Q204" s="12"/>
    </row>
    <row r="205" spans="2:21" s="2" customFormat="1" ht="15.75" hidden="1" x14ac:dyDescent="0.25">
      <c r="B205" s="22">
        <v>201</v>
      </c>
      <c r="C205" s="89" t="s">
        <v>28</v>
      </c>
      <c r="D205" s="89" t="s">
        <v>33</v>
      </c>
      <c r="E205" s="89" t="s">
        <v>92</v>
      </c>
      <c r="F205" s="10">
        <v>43701</v>
      </c>
      <c r="G205" s="89" t="s">
        <v>347</v>
      </c>
      <c r="H205" s="22" t="s">
        <v>21</v>
      </c>
      <c r="I205" s="90">
        <v>9228.94</v>
      </c>
      <c r="J205" s="90">
        <v>5142.08</v>
      </c>
      <c r="K205" s="91">
        <f t="shared" si="3"/>
        <v>0.44283092099417704</v>
      </c>
      <c r="L205" s="90">
        <v>749.07</v>
      </c>
      <c r="M205" s="91">
        <f t="shared" si="2"/>
        <v>8.1165334263739938E-2</v>
      </c>
      <c r="N205" s="11">
        <v>-329.56</v>
      </c>
      <c r="O205" s="92">
        <v>0</v>
      </c>
      <c r="P205" s="12"/>
      <c r="Q205" s="12"/>
    </row>
    <row r="206" spans="2:21" s="2" customFormat="1" ht="15.75" hidden="1" x14ac:dyDescent="0.25">
      <c r="B206" s="22">
        <v>202</v>
      </c>
      <c r="C206" s="89" t="s">
        <v>28</v>
      </c>
      <c r="D206" s="89" t="s">
        <v>33</v>
      </c>
      <c r="E206" s="89" t="s">
        <v>450</v>
      </c>
      <c r="F206" s="10">
        <v>43761</v>
      </c>
      <c r="G206" s="89" t="s">
        <v>348</v>
      </c>
      <c r="H206" s="22" t="s">
        <v>24</v>
      </c>
      <c r="I206" s="90">
        <v>8040.79</v>
      </c>
      <c r="J206" s="90">
        <v>3526.54</v>
      </c>
      <c r="K206" s="91">
        <f t="shared" si="3"/>
        <v>0.5614187163201626</v>
      </c>
      <c r="L206" s="90">
        <v>1108.95</v>
      </c>
      <c r="M206" s="91">
        <f t="shared" si="2"/>
        <v>0.13791555307376516</v>
      </c>
      <c r="N206" s="11">
        <v>1042.19</v>
      </c>
      <c r="O206" s="92">
        <v>0</v>
      </c>
      <c r="P206" s="12"/>
      <c r="Q206" s="12"/>
    </row>
    <row r="207" spans="2:21" s="2" customFormat="1" ht="15.75" hidden="1" x14ac:dyDescent="0.25">
      <c r="B207" s="22">
        <v>203</v>
      </c>
      <c r="C207" s="89" t="s">
        <v>38</v>
      </c>
      <c r="D207" s="89" t="s">
        <v>90</v>
      </c>
      <c r="E207" s="89" t="s">
        <v>449</v>
      </c>
      <c r="F207" s="10">
        <v>43743</v>
      </c>
      <c r="G207" s="89" t="s">
        <v>349</v>
      </c>
      <c r="H207" s="22" t="s">
        <v>20</v>
      </c>
      <c r="I207" s="90">
        <v>17857.29</v>
      </c>
      <c r="J207" s="90">
        <v>8645.34</v>
      </c>
      <c r="K207" s="91">
        <f t="shared" si="3"/>
        <v>0.51586494927281801</v>
      </c>
      <c r="L207" s="90">
        <v>2358.31</v>
      </c>
      <c r="M207" s="91">
        <f t="shared" si="2"/>
        <v>0.13206427179040045</v>
      </c>
      <c r="N207" s="11">
        <v>1538.89</v>
      </c>
      <c r="O207" s="92">
        <v>0</v>
      </c>
      <c r="P207" s="12"/>
      <c r="Q207" s="12"/>
    </row>
    <row r="208" spans="2:21" s="2" customFormat="1" ht="15.75" hidden="1" x14ac:dyDescent="0.25">
      <c r="B208" s="22">
        <v>204</v>
      </c>
      <c r="C208" s="89" t="s">
        <v>38</v>
      </c>
      <c r="D208" s="89" t="s">
        <v>52</v>
      </c>
      <c r="E208" s="89" t="s">
        <v>327</v>
      </c>
      <c r="F208" s="10">
        <v>43725</v>
      </c>
      <c r="G208" s="89" t="s">
        <v>350</v>
      </c>
      <c r="H208" s="22" t="s">
        <v>16</v>
      </c>
      <c r="I208" s="90">
        <v>6407.38</v>
      </c>
      <c r="J208" s="90">
        <v>4001.73</v>
      </c>
      <c r="K208" s="91">
        <f t="shared" si="3"/>
        <v>0.37544987186650397</v>
      </c>
      <c r="L208" s="90">
        <v>356.65</v>
      </c>
      <c r="M208" s="91">
        <f t="shared" si="2"/>
        <v>5.5662376821727443E-2</v>
      </c>
      <c r="N208" s="11">
        <v>-556.22</v>
      </c>
      <c r="O208" s="92">
        <v>0</v>
      </c>
      <c r="P208" s="12" t="s">
        <v>351</v>
      </c>
      <c r="Q208" s="12"/>
    </row>
    <row r="209" spans="2:22" s="2" customFormat="1" ht="15.75" hidden="1" x14ac:dyDescent="0.25">
      <c r="B209" s="22">
        <v>205</v>
      </c>
      <c r="C209" s="89" t="s">
        <v>352</v>
      </c>
      <c r="D209" s="89" t="s">
        <v>31</v>
      </c>
      <c r="E209" s="89" t="s">
        <v>450</v>
      </c>
      <c r="F209" s="10">
        <v>43766</v>
      </c>
      <c r="G209" s="89" t="s">
        <v>49</v>
      </c>
      <c r="H209" s="22" t="s">
        <v>19</v>
      </c>
      <c r="I209" s="90">
        <v>10008.200000000001</v>
      </c>
      <c r="J209" s="90">
        <v>3722.5</v>
      </c>
      <c r="K209" s="91">
        <f t="shared" si="3"/>
        <v>0.6280549949041786</v>
      </c>
      <c r="L209" s="90">
        <f>1212.9+O209</f>
        <v>1312.9</v>
      </c>
      <c r="M209" s="91">
        <f t="shared" si="2"/>
        <v>0.1311824304070662</v>
      </c>
      <c r="N209" s="11">
        <v>703.8</v>
      </c>
      <c r="O209" s="92">
        <v>100</v>
      </c>
      <c r="P209" s="12"/>
      <c r="Q209" s="12"/>
    </row>
    <row r="210" spans="2:22" s="2" customFormat="1" ht="15.75" hidden="1" x14ac:dyDescent="0.25">
      <c r="B210" s="22">
        <v>206</v>
      </c>
      <c r="C210" s="89" t="s">
        <v>28</v>
      </c>
      <c r="D210" s="89" t="s">
        <v>31</v>
      </c>
      <c r="E210" s="89" t="s">
        <v>444</v>
      </c>
      <c r="F210" s="10">
        <v>43746</v>
      </c>
      <c r="G210" s="89" t="s">
        <v>353</v>
      </c>
      <c r="H210" s="22" t="s">
        <v>16</v>
      </c>
      <c r="I210" s="90">
        <v>6754.11</v>
      </c>
      <c r="J210" s="90">
        <v>3907.73</v>
      </c>
      <c r="K210" s="91">
        <f t="shared" si="3"/>
        <v>0.42142932229412905</v>
      </c>
      <c r="L210" s="90">
        <v>551.58000000000004</v>
      </c>
      <c r="M210" s="91">
        <f t="shared" si="2"/>
        <v>8.1665830138982057E-2</v>
      </c>
      <c r="N210" s="11">
        <v>-187.09</v>
      </c>
      <c r="O210" s="92">
        <v>0</v>
      </c>
      <c r="P210" s="12"/>
      <c r="Q210" s="12"/>
    </row>
    <row r="211" spans="2:22" s="2" customFormat="1" ht="15.75" hidden="1" x14ac:dyDescent="0.25">
      <c r="B211" s="22">
        <v>207</v>
      </c>
      <c r="C211" s="89" t="s">
        <v>38</v>
      </c>
      <c r="D211" s="89" t="s">
        <v>90</v>
      </c>
      <c r="E211" s="89" t="s">
        <v>88</v>
      </c>
      <c r="F211" s="10">
        <v>43633</v>
      </c>
      <c r="G211" s="89" t="s">
        <v>354</v>
      </c>
      <c r="H211" s="22" t="s">
        <v>19</v>
      </c>
      <c r="I211" s="90">
        <v>7550.89</v>
      </c>
      <c r="J211" s="90">
        <v>4355.07</v>
      </c>
      <c r="K211" s="91">
        <f t="shared" si="3"/>
        <v>0.42323752564267264</v>
      </c>
      <c r="L211" s="90">
        <v>439.39</v>
      </c>
      <c r="M211" s="91">
        <f t="shared" si="2"/>
        <v>5.8190491452001017E-2</v>
      </c>
      <c r="N211" s="11">
        <v>-479.51</v>
      </c>
      <c r="O211" s="92">
        <v>0</v>
      </c>
      <c r="P211" s="12"/>
      <c r="Q211" s="12"/>
    </row>
    <row r="212" spans="2:22" s="2" customFormat="1" ht="15.75" hidden="1" x14ac:dyDescent="0.25">
      <c r="B212" s="22">
        <v>208</v>
      </c>
      <c r="C212" s="89" t="s">
        <v>28</v>
      </c>
      <c r="D212" s="89" t="s">
        <v>33</v>
      </c>
      <c r="E212" s="89" t="s">
        <v>444</v>
      </c>
      <c r="F212" s="10">
        <v>43735</v>
      </c>
      <c r="G212" s="89" t="s">
        <v>355</v>
      </c>
      <c r="H212" s="22" t="s">
        <v>16</v>
      </c>
      <c r="I212" s="90">
        <v>12096.15</v>
      </c>
      <c r="J212" s="90">
        <v>5204.1000000000004</v>
      </c>
      <c r="K212" s="91">
        <f t="shared" si="3"/>
        <v>0.56977220024553266</v>
      </c>
      <c r="L212" s="90">
        <v>1706.96</v>
      </c>
      <c r="M212" s="91">
        <f t="shared" si="2"/>
        <v>0.14111597491763908</v>
      </c>
      <c r="N212" s="11">
        <v>1313.35</v>
      </c>
      <c r="O212" s="92">
        <v>0</v>
      </c>
      <c r="P212" s="12"/>
      <c r="Q212" s="12"/>
    </row>
    <row r="213" spans="2:22" s="2" customFormat="1" ht="15.75" hidden="1" x14ac:dyDescent="0.25">
      <c r="B213" s="22">
        <v>209</v>
      </c>
      <c r="C213" s="89" t="s">
        <v>28</v>
      </c>
      <c r="D213" s="89" t="s">
        <v>90</v>
      </c>
      <c r="E213" s="89" t="s">
        <v>446</v>
      </c>
      <c r="F213" s="10">
        <v>43703</v>
      </c>
      <c r="G213" s="89" t="s">
        <v>200</v>
      </c>
      <c r="H213" s="22" t="s">
        <v>20</v>
      </c>
      <c r="I213" s="90">
        <v>14582.62</v>
      </c>
      <c r="J213" s="90">
        <v>6554.85</v>
      </c>
      <c r="K213" s="91">
        <f t="shared" si="3"/>
        <v>0.55050258458356593</v>
      </c>
      <c r="L213" s="90">
        <v>1798.97</v>
      </c>
      <c r="M213" s="91">
        <f t="shared" si="2"/>
        <v>0.12336397711796646</v>
      </c>
      <c r="N213" s="11">
        <v>913.02</v>
      </c>
      <c r="O213" s="92">
        <v>0</v>
      </c>
      <c r="P213" s="12"/>
      <c r="Q213" s="12"/>
    </row>
    <row r="214" spans="2:22" s="2" customFormat="1" ht="15.75" hidden="1" x14ac:dyDescent="0.25">
      <c r="B214" s="22">
        <v>210</v>
      </c>
      <c r="C214" s="89" t="s">
        <v>28</v>
      </c>
      <c r="D214" s="89" t="s">
        <v>146</v>
      </c>
      <c r="E214" s="89" t="s">
        <v>446</v>
      </c>
      <c r="F214" s="10">
        <v>43603</v>
      </c>
      <c r="G214" s="89" t="s">
        <v>200</v>
      </c>
      <c r="H214" s="22" t="s">
        <v>443</v>
      </c>
      <c r="I214" s="90">
        <v>29200.46</v>
      </c>
      <c r="J214" s="90">
        <v>14426.47</v>
      </c>
      <c r="K214" s="91">
        <f t="shared" si="3"/>
        <v>0.50595059118931685</v>
      </c>
      <c r="L214" s="90">
        <v>2935.71</v>
      </c>
      <c r="M214" s="91">
        <f t="shared" si="2"/>
        <v>0.10053642990555629</v>
      </c>
      <c r="N214" s="11">
        <v>2935.71</v>
      </c>
      <c r="O214" s="92">
        <v>0</v>
      </c>
      <c r="P214" s="12"/>
      <c r="Q214" s="12"/>
    </row>
    <row r="215" spans="2:22" s="2" customFormat="1" ht="15.75" hidden="1" x14ac:dyDescent="0.25">
      <c r="B215" s="22">
        <v>211</v>
      </c>
      <c r="C215" s="89" t="s">
        <v>28</v>
      </c>
      <c r="D215" s="89" t="s">
        <v>26</v>
      </c>
      <c r="E215" s="89" t="s">
        <v>449</v>
      </c>
      <c r="F215" s="10">
        <v>43733</v>
      </c>
      <c r="G215" s="89" t="s">
        <v>356</v>
      </c>
      <c r="H215" s="22" t="s">
        <v>20</v>
      </c>
      <c r="I215" s="90">
        <v>4660.18</v>
      </c>
      <c r="J215" s="90">
        <v>2637.65</v>
      </c>
      <c r="K215" s="91">
        <f t="shared" si="3"/>
        <v>0.434002549257754</v>
      </c>
      <c r="L215" s="90">
        <f>289.45+O215</f>
        <v>339.45</v>
      </c>
      <c r="M215" s="91">
        <f t="shared" si="2"/>
        <v>7.2840534056624412E-2</v>
      </c>
      <c r="N215" s="11">
        <v>-234.92</v>
      </c>
      <c r="O215" s="92">
        <v>50</v>
      </c>
      <c r="P215" s="12"/>
      <c r="Q215" s="12"/>
    </row>
    <row r="216" spans="2:22" s="2" customFormat="1" ht="15.75" hidden="1" x14ac:dyDescent="0.25">
      <c r="B216" s="22">
        <v>212</v>
      </c>
      <c r="C216" s="89" t="s">
        <v>45</v>
      </c>
      <c r="D216" s="89" t="s">
        <v>52</v>
      </c>
      <c r="E216" s="89" t="s">
        <v>444</v>
      </c>
      <c r="F216" s="10">
        <v>43662</v>
      </c>
      <c r="G216" s="89" t="s">
        <v>357</v>
      </c>
      <c r="H216" s="22" t="s">
        <v>16</v>
      </c>
      <c r="I216" s="90">
        <v>7995.34</v>
      </c>
      <c r="J216" s="90">
        <v>4837.8999999999996</v>
      </c>
      <c r="K216" s="91">
        <f t="shared" si="3"/>
        <v>0.39491003509544315</v>
      </c>
      <c r="L216" s="90">
        <v>593.13</v>
      </c>
      <c r="M216" s="91">
        <f t="shared" si="2"/>
        <v>7.4184462449376765E-2</v>
      </c>
      <c r="N216" s="11">
        <v>-383.94</v>
      </c>
      <c r="O216" s="92">
        <v>38.9</v>
      </c>
      <c r="P216" s="12"/>
      <c r="Q216" s="12"/>
    </row>
    <row r="217" spans="2:22" s="2" customFormat="1" ht="15.75" hidden="1" x14ac:dyDescent="0.25">
      <c r="B217" s="22">
        <v>213</v>
      </c>
      <c r="C217" s="89" t="s">
        <v>358</v>
      </c>
      <c r="D217" s="89" t="s">
        <v>39</v>
      </c>
      <c r="E217" s="89" t="s">
        <v>305</v>
      </c>
      <c r="F217" s="10">
        <v>43652</v>
      </c>
      <c r="G217" s="89" t="s">
        <v>359</v>
      </c>
      <c r="H217" s="22" t="s">
        <v>18</v>
      </c>
      <c r="I217" s="90">
        <v>43092.959999999999</v>
      </c>
      <c r="J217" s="90">
        <v>18763.68</v>
      </c>
      <c r="K217" s="91">
        <f t="shared" si="3"/>
        <v>0.56457667331276384</v>
      </c>
      <c r="L217" s="90">
        <v>5591.1</v>
      </c>
      <c r="M217" s="91">
        <f t="shared" si="2"/>
        <v>0.1297450906134088</v>
      </c>
      <c r="N217" s="11">
        <v>4820.46</v>
      </c>
      <c r="O217" s="92">
        <v>0</v>
      </c>
      <c r="P217" s="12"/>
      <c r="Q217" s="12"/>
    </row>
    <row r="218" spans="2:22" s="2" customFormat="1" ht="15.75" hidden="1" x14ac:dyDescent="0.25">
      <c r="B218" s="22">
        <v>214</v>
      </c>
      <c r="C218" s="89" t="s">
        <v>44</v>
      </c>
      <c r="D218" s="89" t="s">
        <v>33</v>
      </c>
      <c r="E218" s="89" t="s">
        <v>88</v>
      </c>
      <c r="F218" s="10">
        <v>43768</v>
      </c>
      <c r="G218" s="89" t="s">
        <v>95</v>
      </c>
      <c r="H218" s="22" t="s">
        <v>13</v>
      </c>
      <c r="I218" s="90">
        <v>6688.06</v>
      </c>
      <c r="J218" s="90">
        <v>2970.88</v>
      </c>
      <c r="K218" s="93">
        <f t="shared" si="3"/>
        <v>0.55579345879074049</v>
      </c>
      <c r="L218" s="90">
        <v>796.18</v>
      </c>
      <c r="M218" s="91">
        <f t="shared" si="2"/>
        <v>0.1190449846442765</v>
      </c>
      <c r="N218" s="11">
        <v>420.01</v>
      </c>
      <c r="O218" s="92">
        <v>0</v>
      </c>
      <c r="P218" s="12"/>
      <c r="Q218" s="12"/>
      <c r="V218" s="5"/>
    </row>
    <row r="219" spans="2:22" s="2" customFormat="1" ht="15.75" hidden="1" x14ac:dyDescent="0.25">
      <c r="B219" s="22">
        <v>215</v>
      </c>
      <c r="C219" s="89" t="s">
        <v>41</v>
      </c>
      <c r="D219" s="89" t="s">
        <v>33</v>
      </c>
      <c r="E219" s="89" t="s">
        <v>445</v>
      </c>
      <c r="F219" s="10">
        <v>43607</v>
      </c>
      <c r="G219" s="89" t="s">
        <v>360</v>
      </c>
      <c r="H219" s="22" t="s">
        <v>16</v>
      </c>
      <c r="I219" s="90">
        <v>6804.21</v>
      </c>
      <c r="J219" s="90">
        <v>4447.6899999999996</v>
      </c>
      <c r="K219" s="91">
        <f t="shared" si="3"/>
        <v>0.3463326381754826</v>
      </c>
      <c r="L219" s="90">
        <v>426.25</v>
      </c>
      <c r="M219" s="91">
        <f t="shared" si="2"/>
        <v>6.2645038880340259E-2</v>
      </c>
      <c r="N219" s="11">
        <v>-769.79</v>
      </c>
      <c r="O219" s="92">
        <v>116.04</v>
      </c>
      <c r="P219" s="12"/>
      <c r="Q219" s="12"/>
    </row>
    <row r="220" spans="2:22" s="2" customFormat="1" ht="15.75" hidden="1" x14ac:dyDescent="0.25">
      <c r="B220" s="22">
        <v>216</v>
      </c>
      <c r="C220" s="89" t="s">
        <v>41</v>
      </c>
      <c r="D220" s="89" t="s">
        <v>26</v>
      </c>
      <c r="E220" s="89" t="s">
        <v>88</v>
      </c>
      <c r="F220" s="10">
        <v>43686</v>
      </c>
      <c r="G220" s="89" t="s">
        <v>361</v>
      </c>
      <c r="H220" s="22" t="s">
        <v>24</v>
      </c>
      <c r="I220" s="90">
        <v>26688.28</v>
      </c>
      <c r="J220" s="90">
        <v>11850.82</v>
      </c>
      <c r="K220" s="91">
        <f t="shared" si="3"/>
        <v>0.55595414916210406</v>
      </c>
      <c r="L220" s="90">
        <v>3082.98</v>
      </c>
      <c r="M220" s="91">
        <f t="shared" si="2"/>
        <v>0.11551812256166377</v>
      </c>
      <c r="N220" s="11">
        <v>1941.88</v>
      </c>
      <c r="O220" s="92">
        <v>0</v>
      </c>
      <c r="P220" s="12"/>
      <c r="Q220" s="12"/>
    </row>
    <row r="221" spans="2:22" s="2" customFormat="1" ht="15.75" x14ac:dyDescent="0.25">
      <c r="B221" s="22">
        <v>217</v>
      </c>
      <c r="C221" s="89" t="s">
        <v>28</v>
      </c>
      <c r="D221" s="89" t="s">
        <v>90</v>
      </c>
      <c r="E221" s="89" t="s">
        <v>449</v>
      </c>
      <c r="F221" s="10">
        <v>43616</v>
      </c>
      <c r="G221" s="89" t="s">
        <v>270</v>
      </c>
      <c r="H221" s="22" t="s">
        <v>20</v>
      </c>
      <c r="I221" s="90">
        <v>4418.08</v>
      </c>
      <c r="J221" s="90">
        <v>2045.98</v>
      </c>
      <c r="K221" s="91">
        <f t="shared" si="3"/>
        <v>0.53690743490384962</v>
      </c>
      <c r="L221" s="90">
        <v>474.72</v>
      </c>
      <c r="M221" s="91">
        <f t="shared" si="2"/>
        <v>0.10744938978017601</v>
      </c>
      <c r="N221" s="11">
        <v>152.28</v>
      </c>
      <c r="O221" s="92">
        <v>0</v>
      </c>
      <c r="P221" s="12"/>
      <c r="Q221" s="12"/>
    </row>
    <row r="222" spans="2:22" s="2" customFormat="1" ht="15.75" hidden="1" x14ac:dyDescent="0.25">
      <c r="B222" s="22">
        <v>218</v>
      </c>
      <c r="C222" s="89" t="s">
        <v>28</v>
      </c>
      <c r="D222" s="89" t="s">
        <v>31</v>
      </c>
      <c r="E222" s="89" t="s">
        <v>92</v>
      </c>
      <c r="F222" s="10">
        <v>43736</v>
      </c>
      <c r="G222" s="89" t="s">
        <v>362</v>
      </c>
      <c r="H222" s="22" t="s">
        <v>21</v>
      </c>
      <c r="I222" s="90">
        <v>23655.16</v>
      </c>
      <c r="J222" s="90">
        <v>11087.41</v>
      </c>
      <c r="K222" s="91">
        <f t="shared" si="3"/>
        <v>0.53129000184314967</v>
      </c>
      <c r="L222" s="90">
        <v>3373.54</v>
      </c>
      <c r="M222" s="91">
        <f t="shared" si="2"/>
        <v>0.14261328183787386</v>
      </c>
      <c r="N222" s="11">
        <v>3129.06</v>
      </c>
      <c r="O222" s="92">
        <v>0</v>
      </c>
      <c r="P222" s="12"/>
      <c r="Q222" s="12"/>
    </row>
    <row r="223" spans="2:22" s="2" customFormat="1" ht="15.75" hidden="1" x14ac:dyDescent="0.25">
      <c r="B223" s="22">
        <v>219</v>
      </c>
      <c r="C223" s="89" t="s">
        <v>28</v>
      </c>
      <c r="D223" s="89" t="s">
        <v>31</v>
      </c>
      <c r="E223" s="89" t="s">
        <v>363</v>
      </c>
      <c r="F223" s="10">
        <v>43787</v>
      </c>
      <c r="G223" s="89" t="s">
        <v>362</v>
      </c>
      <c r="H223" s="22" t="s">
        <v>104</v>
      </c>
      <c r="I223" s="90">
        <v>9781.69</v>
      </c>
      <c r="J223" s="90">
        <v>3810</v>
      </c>
      <c r="K223" s="91">
        <f t="shared" si="3"/>
        <v>0.61049675465078124</v>
      </c>
      <c r="L223" s="90">
        <v>1701.47</v>
      </c>
      <c r="M223" s="91">
        <f t="shared" si="2"/>
        <v>0.1739443797544187</v>
      </c>
      <c r="N223" s="11">
        <v>3402.94</v>
      </c>
      <c r="O223" s="92">
        <v>0</v>
      </c>
      <c r="P223" s="12"/>
      <c r="Q223" s="12"/>
    </row>
    <row r="224" spans="2:22" s="2" customFormat="1" ht="15.75" hidden="1" x14ac:dyDescent="0.25">
      <c r="B224" s="22">
        <v>220</v>
      </c>
      <c r="C224" s="89" t="s">
        <v>28</v>
      </c>
      <c r="D224" s="89" t="s">
        <v>39</v>
      </c>
      <c r="E224" s="89" t="s">
        <v>445</v>
      </c>
      <c r="F224" s="10">
        <v>43677</v>
      </c>
      <c r="G224" s="89" t="s">
        <v>346</v>
      </c>
      <c r="H224" s="22" t="s">
        <v>443</v>
      </c>
      <c r="I224" s="90">
        <v>37450.75</v>
      </c>
      <c r="J224" s="90">
        <v>19069.13</v>
      </c>
      <c r="K224" s="91">
        <f t="shared" si="3"/>
        <v>0.49082114510390312</v>
      </c>
      <c r="L224" s="90">
        <v>3937.18</v>
      </c>
      <c r="M224" s="91">
        <f t="shared" si="2"/>
        <v>0.10512953679165303</v>
      </c>
      <c r="N224" s="11">
        <v>550.25</v>
      </c>
      <c r="O224" s="92">
        <v>0</v>
      </c>
      <c r="P224" s="12"/>
      <c r="Q224" s="12"/>
    </row>
    <row r="225" spans="2:17" s="2" customFormat="1" ht="15.75" hidden="1" x14ac:dyDescent="0.25">
      <c r="B225" s="22">
        <v>221</v>
      </c>
      <c r="C225" s="89" t="s">
        <v>28</v>
      </c>
      <c r="D225" s="89" t="s">
        <v>52</v>
      </c>
      <c r="E225" s="89" t="s">
        <v>444</v>
      </c>
      <c r="F225" s="10">
        <v>43768</v>
      </c>
      <c r="G225" s="89" t="s">
        <v>364</v>
      </c>
      <c r="H225" s="22" t="s">
        <v>16</v>
      </c>
      <c r="I225" s="90">
        <v>5450.75</v>
      </c>
      <c r="J225" s="90">
        <v>3097.1</v>
      </c>
      <c r="K225" s="91">
        <f t="shared" si="3"/>
        <v>0.43180296289501446</v>
      </c>
      <c r="L225" s="90">
        <v>479.92</v>
      </c>
      <c r="M225" s="91">
        <f t="shared" si="2"/>
        <v>8.80465990918681E-2</v>
      </c>
      <c r="N225" s="11">
        <v>-119.15</v>
      </c>
      <c r="O225" s="92">
        <v>0</v>
      </c>
      <c r="P225" s="12"/>
      <c r="Q225" s="12"/>
    </row>
    <row r="226" spans="2:17" s="2" customFormat="1" ht="15.75" hidden="1" x14ac:dyDescent="0.25">
      <c r="B226" s="22">
        <v>222</v>
      </c>
      <c r="C226" s="89" t="s">
        <v>28</v>
      </c>
      <c r="D226" s="89" t="s">
        <v>26</v>
      </c>
      <c r="E226" s="89" t="s">
        <v>92</v>
      </c>
      <c r="F226" s="10">
        <v>43680</v>
      </c>
      <c r="G226" s="89" t="s">
        <v>365</v>
      </c>
      <c r="H226" s="22" t="s">
        <v>14</v>
      </c>
      <c r="I226" s="90">
        <v>9455.39</v>
      </c>
      <c r="J226" s="90">
        <v>4955.6499999999996</v>
      </c>
      <c r="K226" s="91">
        <f t="shared" si="3"/>
        <v>0.47589152853557604</v>
      </c>
      <c r="L226" s="90">
        <v>762.05</v>
      </c>
      <c r="M226" s="91">
        <f t="shared" si="2"/>
        <v>8.0594243071940977E-2</v>
      </c>
      <c r="N226" s="11">
        <v>13.79</v>
      </c>
      <c r="O226" s="92">
        <v>0</v>
      </c>
      <c r="P226" s="12"/>
      <c r="Q226" s="12"/>
    </row>
    <row r="227" spans="2:17" s="2" customFormat="1" ht="15.75" hidden="1" x14ac:dyDescent="0.25">
      <c r="B227" s="22">
        <v>223</v>
      </c>
      <c r="C227" s="89" t="s">
        <v>28</v>
      </c>
      <c r="D227" s="89" t="s">
        <v>26</v>
      </c>
      <c r="E227" s="89" t="s">
        <v>92</v>
      </c>
      <c r="F227" s="10">
        <v>43633</v>
      </c>
      <c r="G227" s="89" t="s">
        <v>366</v>
      </c>
      <c r="H227" s="22" t="s">
        <v>61</v>
      </c>
      <c r="I227" s="90">
        <v>40509.85</v>
      </c>
      <c r="J227" s="90">
        <v>23778.65</v>
      </c>
      <c r="K227" s="91">
        <f t="shared" si="3"/>
        <v>0.41301559990965153</v>
      </c>
      <c r="L227" s="90">
        <v>3489.53</v>
      </c>
      <c r="M227" s="91">
        <f t="shared" si="2"/>
        <v>8.6140284399966932E-2</v>
      </c>
      <c r="N227" s="11">
        <v>-941.63</v>
      </c>
      <c r="O227" s="92">
        <v>0</v>
      </c>
      <c r="P227" s="12"/>
      <c r="Q227" s="12"/>
    </row>
    <row r="228" spans="2:17" s="2" customFormat="1" ht="15.75" hidden="1" x14ac:dyDescent="0.25">
      <c r="B228" s="22">
        <v>224</v>
      </c>
      <c r="C228" s="89" t="s">
        <v>28</v>
      </c>
      <c r="D228" s="89" t="s">
        <v>33</v>
      </c>
      <c r="E228" s="89" t="s">
        <v>92</v>
      </c>
      <c r="F228" s="10">
        <v>43693</v>
      </c>
      <c r="G228" s="89" t="s">
        <v>367</v>
      </c>
      <c r="H228" s="22" t="s">
        <v>14</v>
      </c>
      <c r="I228" s="90">
        <v>13081.81</v>
      </c>
      <c r="J228" s="90">
        <v>6521.37</v>
      </c>
      <c r="K228" s="91">
        <f t="shared" si="3"/>
        <v>0.50149329488809269</v>
      </c>
      <c r="L228" s="90">
        <v>1224.1199999999999</v>
      </c>
      <c r="M228" s="91">
        <f t="shared" si="2"/>
        <v>9.357420723890654E-2</v>
      </c>
      <c r="N228" s="11">
        <v>414.61</v>
      </c>
      <c r="O228" s="92">
        <v>0</v>
      </c>
      <c r="P228" s="12"/>
      <c r="Q228" s="12"/>
    </row>
    <row r="229" spans="2:17" s="2" customFormat="1" ht="15.75" hidden="1" x14ac:dyDescent="0.25">
      <c r="B229" s="22">
        <v>225</v>
      </c>
      <c r="C229" s="89" t="s">
        <v>28</v>
      </c>
      <c r="D229" s="89" t="s">
        <v>26</v>
      </c>
      <c r="E229" s="89" t="s">
        <v>88</v>
      </c>
      <c r="F229" s="10">
        <v>43759</v>
      </c>
      <c r="G229" s="89" t="s">
        <v>368</v>
      </c>
      <c r="H229" s="22" t="s">
        <v>59</v>
      </c>
      <c r="I229" s="90">
        <v>16685.98</v>
      </c>
      <c r="J229" s="90">
        <v>7425.34</v>
      </c>
      <c r="K229" s="91">
        <f t="shared" si="3"/>
        <v>0.55499527147940964</v>
      </c>
      <c r="L229" s="90">
        <f>1502.73+200</f>
        <v>1702.73</v>
      </c>
      <c r="M229" s="91">
        <f t="shared" si="2"/>
        <v>0.1020455496171037</v>
      </c>
      <c r="N229" s="11">
        <v>1095.58</v>
      </c>
      <c r="O229" s="92">
        <v>200</v>
      </c>
      <c r="P229" s="12"/>
      <c r="Q229" s="12"/>
    </row>
    <row r="230" spans="2:17" s="2" customFormat="1" ht="15.75" hidden="1" x14ac:dyDescent="0.25">
      <c r="B230" s="22">
        <v>226</v>
      </c>
      <c r="C230" s="89" t="s">
        <v>28</v>
      </c>
      <c r="D230" s="89" t="s">
        <v>33</v>
      </c>
      <c r="E230" s="89" t="s">
        <v>15</v>
      </c>
      <c r="F230" s="10">
        <v>43750</v>
      </c>
      <c r="G230" s="89" t="s">
        <v>369</v>
      </c>
      <c r="H230" s="22" t="s">
        <v>13</v>
      </c>
      <c r="I230" s="90">
        <v>9059.26</v>
      </c>
      <c r="J230" s="90">
        <v>3296.9</v>
      </c>
      <c r="K230" s="91">
        <f t="shared" si="3"/>
        <v>0.63607402812150227</v>
      </c>
      <c r="L230" s="90">
        <f>1147.37+100</f>
        <v>1247.3699999999999</v>
      </c>
      <c r="M230" s="91">
        <f t="shared" si="2"/>
        <v>0.13769005415453359</v>
      </c>
      <c r="N230" s="11">
        <v>664.86</v>
      </c>
      <c r="O230" s="92">
        <v>100</v>
      </c>
      <c r="P230" s="12"/>
      <c r="Q230" s="12"/>
    </row>
    <row r="231" spans="2:17" s="2" customFormat="1" ht="15.75" hidden="1" x14ac:dyDescent="0.25">
      <c r="B231" s="22">
        <v>227</v>
      </c>
      <c r="C231" s="89" t="s">
        <v>28</v>
      </c>
      <c r="D231" s="89" t="s">
        <v>39</v>
      </c>
      <c r="E231" s="89" t="s">
        <v>327</v>
      </c>
      <c r="F231" s="10">
        <v>43726</v>
      </c>
      <c r="G231" s="89" t="s">
        <v>370</v>
      </c>
      <c r="H231" s="22" t="s">
        <v>16</v>
      </c>
      <c r="I231" s="90">
        <v>10590.96</v>
      </c>
      <c r="J231" s="90">
        <v>5011.7299999999996</v>
      </c>
      <c r="K231" s="91">
        <f t="shared" si="3"/>
        <v>0.52679171670934455</v>
      </c>
      <c r="L231" s="90">
        <v>1326.76</v>
      </c>
      <c r="M231" s="91">
        <f t="shared" si="2"/>
        <v>0.12527287422481059</v>
      </c>
      <c r="N231" s="11">
        <v>739.16</v>
      </c>
      <c r="O231" s="92">
        <v>0</v>
      </c>
      <c r="P231" s="12"/>
      <c r="Q231" s="12"/>
    </row>
    <row r="232" spans="2:17" s="2" customFormat="1" ht="15.75" hidden="1" x14ac:dyDescent="0.25">
      <c r="B232" s="22">
        <v>228</v>
      </c>
      <c r="C232" s="89" t="s">
        <v>41</v>
      </c>
      <c r="D232" s="89" t="s">
        <v>26</v>
      </c>
      <c r="E232" s="89" t="s">
        <v>88</v>
      </c>
      <c r="F232" s="10">
        <v>43672</v>
      </c>
      <c r="G232" s="89" t="s">
        <v>371</v>
      </c>
      <c r="H232" s="22" t="s">
        <v>14</v>
      </c>
      <c r="I232" s="90">
        <v>38317.4</v>
      </c>
      <c r="J232" s="90">
        <v>15071.56</v>
      </c>
      <c r="K232" s="91">
        <f t="shared" si="3"/>
        <v>0.6066653791749963</v>
      </c>
      <c r="L232" s="90">
        <f>1727.1+1927.1</f>
        <v>3654.2</v>
      </c>
      <c r="M232" s="91">
        <f t="shared" si="2"/>
        <v>9.5366595854624786E-2</v>
      </c>
      <c r="N232" s="11">
        <v>265.39999999999998</v>
      </c>
      <c r="O232" s="92">
        <v>200</v>
      </c>
      <c r="P232" s="12"/>
      <c r="Q232" s="12"/>
    </row>
    <row r="233" spans="2:17" s="2" customFormat="1" ht="15.75" hidden="1" x14ac:dyDescent="0.25">
      <c r="B233" s="22">
        <v>229</v>
      </c>
      <c r="C233" s="89" t="s">
        <v>28</v>
      </c>
      <c r="D233" s="89" t="s">
        <v>52</v>
      </c>
      <c r="E233" s="89" t="s">
        <v>444</v>
      </c>
      <c r="F233" s="10">
        <v>43689</v>
      </c>
      <c r="G233" s="89" t="s">
        <v>372</v>
      </c>
      <c r="H233" s="22" t="s">
        <v>16</v>
      </c>
      <c r="I233" s="90">
        <v>5499.88</v>
      </c>
      <c r="J233" s="90">
        <v>3430.51</v>
      </c>
      <c r="K233" s="91">
        <f t="shared" si="3"/>
        <v>0.37625730015927616</v>
      </c>
      <c r="L233" s="90">
        <v>276.83999999999997</v>
      </c>
      <c r="M233" s="91">
        <f t="shared" si="2"/>
        <v>5.0335643686771341E-2</v>
      </c>
      <c r="N233" s="11">
        <v>586.62</v>
      </c>
      <c r="O233" s="92">
        <v>0</v>
      </c>
      <c r="P233" s="12"/>
      <c r="Q233" s="12"/>
    </row>
    <row r="234" spans="2:17" s="2" customFormat="1" ht="15.75" hidden="1" x14ac:dyDescent="0.25">
      <c r="B234" s="22">
        <v>230</v>
      </c>
      <c r="C234" s="89" t="s">
        <v>38</v>
      </c>
      <c r="D234" s="89" t="s">
        <v>52</v>
      </c>
      <c r="E234" s="89" t="s">
        <v>444</v>
      </c>
      <c r="F234" s="10">
        <v>43664</v>
      </c>
      <c r="G234" s="89" t="s">
        <v>373</v>
      </c>
      <c r="H234" s="22" t="s">
        <v>443</v>
      </c>
      <c r="I234" s="90">
        <v>41198.85</v>
      </c>
      <c r="J234" s="90">
        <f>21962.24+1034.44</f>
        <v>22996.68</v>
      </c>
      <c r="K234" s="91">
        <f t="shared" si="3"/>
        <v>0.44181257486556053</v>
      </c>
      <c r="L234" s="90">
        <v>3851.6</v>
      </c>
      <c r="M234" s="91">
        <f t="shared" si="2"/>
        <v>9.3488046389644378E-2</v>
      </c>
      <c r="N234" s="11">
        <v>232.95</v>
      </c>
      <c r="O234" s="92">
        <v>0</v>
      </c>
      <c r="P234" s="12"/>
      <c r="Q234" s="12"/>
    </row>
    <row r="235" spans="2:17" s="2" customFormat="1" ht="15.75" hidden="1" x14ac:dyDescent="0.25">
      <c r="B235" s="22">
        <v>231</v>
      </c>
      <c r="C235" s="89" t="s">
        <v>28</v>
      </c>
      <c r="D235" s="89" t="s">
        <v>52</v>
      </c>
      <c r="E235" s="89" t="s">
        <v>444</v>
      </c>
      <c r="F235" s="10">
        <v>43697</v>
      </c>
      <c r="G235" s="89" t="s">
        <v>230</v>
      </c>
      <c r="H235" s="22" t="s">
        <v>16</v>
      </c>
      <c r="I235" s="90">
        <v>13845.66</v>
      </c>
      <c r="J235" s="90">
        <v>9846.01</v>
      </c>
      <c r="K235" s="91">
        <f t="shared" si="3"/>
        <v>0.28887391428072046</v>
      </c>
      <c r="L235" s="90">
        <f>948.62</f>
        <v>948.62</v>
      </c>
      <c r="M235" s="91">
        <f t="shared" si="2"/>
        <v>6.8513888106453577E-2</v>
      </c>
      <c r="N235" s="11">
        <v>-2264.84</v>
      </c>
      <c r="O235" s="92">
        <v>1003.39</v>
      </c>
      <c r="P235" s="12"/>
      <c r="Q235" s="12"/>
    </row>
    <row r="236" spans="2:17" s="2" customFormat="1" ht="15.75" hidden="1" x14ac:dyDescent="0.25">
      <c r="B236" s="22">
        <v>232</v>
      </c>
      <c r="C236" s="89" t="s">
        <v>41</v>
      </c>
      <c r="D236" s="89" t="s">
        <v>90</v>
      </c>
      <c r="E236" s="89" t="s">
        <v>88</v>
      </c>
      <c r="F236" s="10">
        <v>43724</v>
      </c>
      <c r="G236" s="89" t="s">
        <v>374</v>
      </c>
      <c r="H236" s="22" t="s">
        <v>21</v>
      </c>
      <c r="I236" s="90">
        <v>12908.65</v>
      </c>
      <c r="J236" s="90">
        <v>6994.26</v>
      </c>
      <c r="K236" s="91">
        <f t="shared" si="3"/>
        <v>0.4581726206845797</v>
      </c>
      <c r="L236" s="90">
        <v>1626</v>
      </c>
      <c r="M236" s="91">
        <f t="shared" si="2"/>
        <v>0.12596204870377614</v>
      </c>
      <c r="N236" s="11">
        <v>1362.85</v>
      </c>
      <c r="O236" s="92">
        <v>0</v>
      </c>
      <c r="P236" s="12"/>
      <c r="Q236" s="12"/>
    </row>
    <row r="237" spans="2:17" s="2" customFormat="1" ht="15.75" hidden="1" x14ac:dyDescent="0.25">
      <c r="B237" s="22">
        <v>233</v>
      </c>
      <c r="C237" s="89" t="s">
        <v>28</v>
      </c>
      <c r="D237" s="89" t="s">
        <v>90</v>
      </c>
      <c r="E237" s="89" t="s">
        <v>449</v>
      </c>
      <c r="F237" s="10">
        <v>43607</v>
      </c>
      <c r="G237" s="89" t="s">
        <v>375</v>
      </c>
      <c r="H237" s="22" t="s">
        <v>14</v>
      </c>
      <c r="I237" s="90">
        <v>23340.42</v>
      </c>
      <c r="J237" s="90">
        <v>13231.36</v>
      </c>
      <c r="K237" s="91">
        <f t="shared" si="3"/>
        <v>0.4331138856970011</v>
      </c>
      <c r="L237" s="90">
        <v>1005.29</v>
      </c>
      <c r="M237" s="91">
        <f t="shared" si="2"/>
        <v>4.3070775932909519E-2</v>
      </c>
      <c r="N237" s="11">
        <v>-766.88</v>
      </c>
      <c r="O237" s="92">
        <v>0</v>
      </c>
      <c r="P237" s="12"/>
      <c r="Q237" s="12"/>
    </row>
    <row r="238" spans="2:17" s="2" customFormat="1" ht="15.75" hidden="1" x14ac:dyDescent="0.25">
      <c r="B238" s="22">
        <v>234</v>
      </c>
      <c r="C238" s="89" t="s">
        <v>41</v>
      </c>
      <c r="D238" s="89" t="s">
        <v>31</v>
      </c>
      <c r="E238" s="89" t="s">
        <v>92</v>
      </c>
      <c r="F238" s="10">
        <v>43665</v>
      </c>
      <c r="G238" s="89" t="s">
        <v>376</v>
      </c>
      <c r="H238" s="22" t="s">
        <v>14</v>
      </c>
      <c r="I238" s="90">
        <v>11790.36</v>
      </c>
      <c r="J238" s="90">
        <v>4282</v>
      </c>
      <c r="K238" s="91">
        <f t="shared" si="3"/>
        <v>0.636821946064412</v>
      </c>
      <c r="L238" s="90">
        <v>1980.5</v>
      </c>
      <c r="M238" s="91">
        <f t="shared" si="2"/>
        <v>0.16797621107413174</v>
      </c>
      <c r="N238" s="11">
        <v>2301.16</v>
      </c>
      <c r="O238" s="92">
        <v>0</v>
      </c>
      <c r="P238" s="12"/>
      <c r="Q238" s="12"/>
    </row>
    <row r="239" spans="2:17" s="2" customFormat="1" ht="15.75" hidden="1" x14ac:dyDescent="0.25">
      <c r="B239" s="22">
        <v>235</v>
      </c>
      <c r="C239" s="89" t="s">
        <v>38</v>
      </c>
      <c r="D239" s="89" t="s">
        <v>90</v>
      </c>
      <c r="E239" s="89" t="s">
        <v>449</v>
      </c>
      <c r="F239" s="10">
        <v>43725</v>
      </c>
      <c r="G239" s="89" t="s">
        <v>42</v>
      </c>
      <c r="H239" s="22" t="s">
        <v>20</v>
      </c>
      <c r="I239" s="90">
        <v>2130.2199999999998</v>
      </c>
      <c r="J239" s="90">
        <v>1009.03</v>
      </c>
      <c r="K239" s="91">
        <f t="shared" si="3"/>
        <v>0.52632591938860773</v>
      </c>
      <c r="L239" s="90">
        <v>283.83999999999997</v>
      </c>
      <c r="M239" s="91">
        <f t="shared" si="2"/>
        <v>0.13324445362450826</v>
      </c>
      <c r="N239" s="11">
        <v>268.92</v>
      </c>
      <c r="O239" s="92">
        <v>0</v>
      </c>
      <c r="P239" s="12"/>
      <c r="Q239" s="12"/>
    </row>
    <row r="240" spans="2:17" s="2" customFormat="1" ht="15.75" hidden="1" x14ac:dyDescent="0.25">
      <c r="B240" s="22">
        <v>236</v>
      </c>
      <c r="C240" s="89" t="s">
        <v>100</v>
      </c>
      <c r="D240" s="89" t="s">
        <v>90</v>
      </c>
      <c r="E240" s="89" t="s">
        <v>449</v>
      </c>
      <c r="F240" s="10">
        <v>43649</v>
      </c>
      <c r="G240" s="89" t="s">
        <v>377</v>
      </c>
      <c r="H240" s="22" t="s">
        <v>20</v>
      </c>
      <c r="I240" s="90">
        <v>64826.32</v>
      </c>
      <c r="J240" s="90">
        <v>38826.71</v>
      </c>
      <c r="K240" s="91">
        <f t="shared" si="3"/>
        <v>0.40106564740987921</v>
      </c>
      <c r="L240" s="90">
        <v>4252.33</v>
      </c>
      <c r="M240" s="91">
        <f t="shared" si="2"/>
        <v>6.5595733337940512E-2</v>
      </c>
      <c r="N240" s="11">
        <v>-7028.68</v>
      </c>
      <c r="O240" s="92">
        <v>605.66999999999996</v>
      </c>
      <c r="P240" s="12"/>
      <c r="Q240" s="12"/>
    </row>
    <row r="241" spans="2:17" s="2" customFormat="1" ht="15.75" hidden="1" x14ac:dyDescent="0.25">
      <c r="B241" s="22">
        <v>237</v>
      </c>
      <c r="C241" s="89" t="s">
        <v>28</v>
      </c>
      <c r="D241" s="89" t="s">
        <v>33</v>
      </c>
      <c r="E241" s="89" t="s">
        <v>444</v>
      </c>
      <c r="F241" s="10">
        <v>43801</v>
      </c>
      <c r="G241" s="89" t="s">
        <v>344</v>
      </c>
      <c r="H241" s="22" t="s">
        <v>16</v>
      </c>
      <c r="I241" s="90">
        <v>6669.76</v>
      </c>
      <c r="J241" s="90">
        <v>3165.94</v>
      </c>
      <c r="K241" s="91">
        <f t="shared" si="3"/>
        <v>0.52532924722928565</v>
      </c>
      <c r="L241" s="90">
        <v>751.18</v>
      </c>
      <c r="M241" s="91">
        <f t="shared" si="2"/>
        <v>0.11262474211965647</v>
      </c>
      <c r="N241" s="11">
        <v>254.26</v>
      </c>
      <c r="O241" s="92">
        <v>0</v>
      </c>
      <c r="P241" s="12"/>
      <c r="Q241" s="12"/>
    </row>
    <row r="242" spans="2:17" s="2" customFormat="1" ht="15.75" hidden="1" x14ac:dyDescent="0.25">
      <c r="B242" s="22">
        <v>238</v>
      </c>
      <c r="C242" s="89" t="s">
        <v>41</v>
      </c>
      <c r="D242" s="89" t="s">
        <v>39</v>
      </c>
      <c r="E242" s="89" t="s">
        <v>378</v>
      </c>
      <c r="F242" s="10">
        <v>43732</v>
      </c>
      <c r="G242" s="89" t="s">
        <v>51</v>
      </c>
      <c r="H242" s="22" t="s">
        <v>18</v>
      </c>
      <c r="I242" s="90">
        <v>14924.63</v>
      </c>
      <c r="J242" s="90">
        <v>5970.56</v>
      </c>
      <c r="K242" s="91">
        <f t="shared" si="3"/>
        <v>0.599952561638044</v>
      </c>
      <c r="L242" s="90">
        <f>1669.11+O242</f>
        <v>1769.11</v>
      </c>
      <c r="M242" s="91">
        <f t="shared" si="2"/>
        <v>0.11853627192097894</v>
      </c>
      <c r="N242" s="11">
        <v>562.03</v>
      </c>
      <c r="O242" s="92">
        <v>100</v>
      </c>
      <c r="P242" s="12"/>
      <c r="Q242" s="12"/>
    </row>
    <row r="243" spans="2:17" s="2" customFormat="1" ht="15.75" hidden="1" x14ac:dyDescent="0.25">
      <c r="B243" s="22">
        <v>239</v>
      </c>
      <c r="C243" s="89" t="s">
        <v>28</v>
      </c>
      <c r="D243" s="89" t="s">
        <v>52</v>
      </c>
      <c r="E243" s="89" t="s">
        <v>444</v>
      </c>
      <c r="F243" s="10">
        <v>43774</v>
      </c>
      <c r="G243" s="89" t="s">
        <v>379</v>
      </c>
      <c r="H243" s="22" t="s">
        <v>16</v>
      </c>
      <c r="I243" s="90">
        <v>5949.48</v>
      </c>
      <c r="J243" s="90">
        <v>3154</v>
      </c>
      <c r="K243" s="91">
        <f t="shared" si="3"/>
        <v>0.46986963566563794</v>
      </c>
      <c r="L243" s="90">
        <f>429.12+O243</f>
        <v>529.12</v>
      </c>
      <c r="M243" s="91">
        <f t="shared" si="2"/>
        <v>8.8935503607037933E-2</v>
      </c>
      <c r="N243" s="11">
        <v>-370.82</v>
      </c>
      <c r="O243" s="92">
        <v>100</v>
      </c>
      <c r="P243" s="12"/>
      <c r="Q243" s="12"/>
    </row>
    <row r="244" spans="2:17" s="2" customFormat="1" ht="15.75" hidden="1" x14ac:dyDescent="0.25">
      <c r="B244" s="22">
        <v>240</v>
      </c>
      <c r="C244" s="89" t="s">
        <v>28</v>
      </c>
      <c r="D244" s="89" t="s">
        <v>33</v>
      </c>
      <c r="E244" s="89" t="s">
        <v>445</v>
      </c>
      <c r="F244" s="10">
        <v>43582</v>
      </c>
      <c r="G244" s="89" t="s">
        <v>380</v>
      </c>
      <c r="H244" s="22" t="s">
        <v>16</v>
      </c>
      <c r="I244" s="90">
        <v>11390.03</v>
      </c>
      <c r="J244" s="90">
        <v>5584.05</v>
      </c>
      <c r="K244" s="91">
        <f t="shared" si="3"/>
        <v>0.50974229216253164</v>
      </c>
      <c r="L244" s="90">
        <v>1356.98</v>
      </c>
      <c r="M244" s="91">
        <f t="shared" si="2"/>
        <v>0.11913752641564596</v>
      </c>
      <c r="N244" s="11">
        <v>614.92999999999995</v>
      </c>
      <c r="O244" s="92">
        <v>0</v>
      </c>
      <c r="P244" s="12"/>
      <c r="Q244" s="12"/>
    </row>
    <row r="245" spans="2:17" s="2" customFormat="1" ht="15.75" hidden="1" x14ac:dyDescent="0.25">
      <c r="B245" s="22">
        <v>241</v>
      </c>
      <c r="C245" s="89" t="s">
        <v>28</v>
      </c>
      <c r="D245" s="89" t="s">
        <v>33</v>
      </c>
      <c r="E245" s="89" t="s">
        <v>445</v>
      </c>
      <c r="F245" s="10">
        <v>43600</v>
      </c>
      <c r="G245" s="89" t="s">
        <v>381</v>
      </c>
      <c r="H245" s="22" t="s">
        <v>16</v>
      </c>
      <c r="I245" s="90">
        <v>12526.35</v>
      </c>
      <c r="J245" s="90">
        <v>8316.99</v>
      </c>
      <c r="K245" s="91">
        <f t="shared" si="3"/>
        <v>0.33604042678034707</v>
      </c>
      <c r="L245" s="90">
        <v>811.85</v>
      </c>
      <c r="M245" s="91">
        <f t="shared" si="2"/>
        <v>6.4811377615985502E-2</v>
      </c>
      <c r="N245" s="11">
        <v>-303.95</v>
      </c>
      <c r="O245" s="92">
        <v>0</v>
      </c>
      <c r="P245" s="12"/>
      <c r="Q245" s="12"/>
    </row>
    <row r="246" spans="2:17" s="2" customFormat="1" ht="15.75" hidden="1" x14ac:dyDescent="0.25">
      <c r="B246" s="22">
        <v>242</v>
      </c>
      <c r="C246" s="89" t="s">
        <v>28</v>
      </c>
      <c r="D246" s="89" t="s">
        <v>39</v>
      </c>
      <c r="E246" s="89" t="s">
        <v>378</v>
      </c>
      <c r="F246" s="10">
        <v>43750</v>
      </c>
      <c r="G246" s="89" t="s">
        <v>99</v>
      </c>
      <c r="H246" s="22" t="s">
        <v>18</v>
      </c>
      <c r="I246" s="90">
        <v>14989.57</v>
      </c>
      <c r="J246" s="90">
        <v>6680.01</v>
      </c>
      <c r="K246" s="91">
        <f t="shared" si="3"/>
        <v>0.5543561289616713</v>
      </c>
      <c r="L246" s="90">
        <v>1991.11</v>
      </c>
      <c r="M246" s="91">
        <f t="shared" si="2"/>
        <v>0.13283302990012388</v>
      </c>
      <c r="N246" s="11">
        <v>1300.3699999999999</v>
      </c>
      <c r="O246" s="92">
        <v>0</v>
      </c>
      <c r="P246" s="12"/>
      <c r="Q246" s="12"/>
    </row>
    <row r="247" spans="2:17" s="2" customFormat="1" ht="15.75" hidden="1" x14ac:dyDescent="0.25">
      <c r="B247" s="22">
        <v>243</v>
      </c>
      <c r="C247" s="89" t="s">
        <v>28</v>
      </c>
      <c r="D247" s="89" t="s">
        <v>52</v>
      </c>
      <c r="E247" s="89" t="s">
        <v>15</v>
      </c>
      <c r="F247" s="10">
        <v>43787</v>
      </c>
      <c r="G247" s="89" t="s">
        <v>382</v>
      </c>
      <c r="H247" s="22" t="s">
        <v>13</v>
      </c>
      <c r="I247" s="90">
        <v>5322.83</v>
      </c>
      <c r="J247" s="90">
        <v>1798.47</v>
      </c>
      <c r="K247" s="91">
        <f t="shared" si="3"/>
        <v>0.66212146546104234</v>
      </c>
      <c r="L247" s="90">
        <v>870.95</v>
      </c>
      <c r="M247" s="91">
        <f t="shared" si="2"/>
        <v>0.16362536470261121</v>
      </c>
      <c r="N247" s="11">
        <v>890.43</v>
      </c>
      <c r="O247" s="92">
        <v>0</v>
      </c>
      <c r="P247" s="12"/>
      <c r="Q247" s="12"/>
    </row>
    <row r="248" spans="2:17" s="2" customFormat="1" ht="15.75" hidden="1" x14ac:dyDescent="0.25">
      <c r="B248" s="22">
        <v>244</v>
      </c>
      <c r="C248" s="89" t="s">
        <v>38</v>
      </c>
      <c r="D248" s="89" t="s">
        <v>90</v>
      </c>
      <c r="E248" s="89" t="s">
        <v>88</v>
      </c>
      <c r="F248" s="10">
        <v>43754</v>
      </c>
      <c r="G248" s="89" t="s">
        <v>383</v>
      </c>
      <c r="H248" s="22" t="s">
        <v>19</v>
      </c>
      <c r="I248" s="90">
        <v>12032.67</v>
      </c>
      <c r="J248" s="90">
        <v>6100.57</v>
      </c>
      <c r="K248" s="91">
        <f t="shared" si="3"/>
        <v>0.49299947559436103</v>
      </c>
      <c r="L248" s="90">
        <v>1099.6400000000001</v>
      </c>
      <c r="M248" s="91">
        <f t="shared" si="2"/>
        <v>9.1387863209079948E-2</v>
      </c>
      <c r="N248" s="11">
        <v>233.67</v>
      </c>
      <c r="O248" s="92">
        <v>0</v>
      </c>
      <c r="P248" s="12"/>
      <c r="Q248" s="12"/>
    </row>
    <row r="249" spans="2:17" s="2" customFormat="1" ht="15.75" hidden="1" x14ac:dyDescent="0.25">
      <c r="B249" s="22">
        <v>245</v>
      </c>
      <c r="C249" s="89" t="s">
        <v>57</v>
      </c>
      <c r="D249" s="89" t="s">
        <v>33</v>
      </c>
      <c r="E249" s="89" t="s">
        <v>88</v>
      </c>
      <c r="F249" s="10">
        <v>43770</v>
      </c>
      <c r="G249" s="89" t="s">
        <v>384</v>
      </c>
      <c r="H249" s="22" t="s">
        <v>30</v>
      </c>
      <c r="I249" s="90">
        <v>11018.31</v>
      </c>
      <c r="J249" s="90">
        <v>4802.87</v>
      </c>
      <c r="K249" s="91">
        <f t="shared" si="3"/>
        <v>0.56410102819760921</v>
      </c>
      <c r="L249" s="90">
        <v>1331.27</v>
      </c>
      <c r="M249" s="91">
        <f t="shared" si="2"/>
        <v>0.12082342936439436</v>
      </c>
      <c r="N249" s="11">
        <v>643.61</v>
      </c>
      <c r="O249" s="92">
        <v>0</v>
      </c>
      <c r="P249" s="12"/>
      <c r="Q249" s="12"/>
    </row>
    <row r="250" spans="2:17" s="2" customFormat="1" ht="15.75" hidden="1" x14ac:dyDescent="0.25">
      <c r="B250" s="22">
        <v>246</v>
      </c>
      <c r="C250" s="89" t="s">
        <v>28</v>
      </c>
      <c r="D250" s="89" t="s">
        <v>33</v>
      </c>
      <c r="E250" s="89" t="s">
        <v>92</v>
      </c>
      <c r="F250" s="10">
        <v>43750</v>
      </c>
      <c r="G250" s="89" t="s">
        <v>385</v>
      </c>
      <c r="H250" s="22" t="s">
        <v>14</v>
      </c>
      <c r="I250" s="90">
        <v>10856.08</v>
      </c>
      <c r="J250" s="90">
        <v>5448.44</v>
      </c>
      <c r="K250" s="91">
        <f t="shared" si="3"/>
        <v>0.49812086867451238</v>
      </c>
      <c r="L250" s="90">
        <v>1050.08</v>
      </c>
      <c r="M250" s="91">
        <f t="shared" si="2"/>
        <v>9.6727363836670327E-2</v>
      </c>
      <c r="N250" s="11">
        <v>478.68</v>
      </c>
      <c r="O250" s="92">
        <v>0</v>
      </c>
      <c r="P250" s="12"/>
      <c r="Q250" s="12"/>
    </row>
    <row r="251" spans="2:17" s="2" customFormat="1" ht="15.75" hidden="1" x14ac:dyDescent="0.25">
      <c r="B251" s="22">
        <v>247</v>
      </c>
      <c r="C251" s="89" t="s">
        <v>386</v>
      </c>
      <c r="D251" s="89" t="s">
        <v>31</v>
      </c>
      <c r="E251" s="89" t="s">
        <v>449</v>
      </c>
      <c r="F251" s="10">
        <v>43795</v>
      </c>
      <c r="G251" s="89" t="s">
        <v>387</v>
      </c>
      <c r="H251" s="22" t="s">
        <v>13</v>
      </c>
      <c r="I251" s="90">
        <v>10873.31</v>
      </c>
      <c r="J251" s="90">
        <v>5489.97</v>
      </c>
      <c r="K251" s="91">
        <f t="shared" si="3"/>
        <v>0.49509670928171823</v>
      </c>
      <c r="L251" s="90">
        <v>1011.68</v>
      </c>
      <c r="M251" s="91">
        <f t="shared" si="2"/>
        <v>9.3042504996178721E-2</v>
      </c>
      <c r="N251" s="11">
        <v>-127.89</v>
      </c>
      <c r="O251" s="92">
        <v>0</v>
      </c>
      <c r="P251" s="12"/>
      <c r="Q251" s="12"/>
    </row>
    <row r="252" spans="2:17" s="2" customFormat="1" ht="15.75" hidden="1" x14ac:dyDescent="0.25">
      <c r="B252" s="22">
        <v>248</v>
      </c>
      <c r="C252" s="89" t="s">
        <v>388</v>
      </c>
      <c r="D252" s="89" t="s">
        <v>52</v>
      </c>
      <c r="E252" s="89" t="s">
        <v>444</v>
      </c>
      <c r="F252" s="10">
        <v>43741</v>
      </c>
      <c r="G252" s="89" t="s">
        <v>389</v>
      </c>
      <c r="H252" s="22" t="s">
        <v>16</v>
      </c>
      <c r="I252" s="90">
        <v>8961.5400000000009</v>
      </c>
      <c r="J252" s="90">
        <v>5120.01</v>
      </c>
      <c r="K252" s="91">
        <f t="shared" si="3"/>
        <v>0.42866851009982665</v>
      </c>
      <c r="L252" s="90">
        <v>621.39</v>
      </c>
      <c r="M252" s="91">
        <f t="shared" si="2"/>
        <v>6.9339644748558832E-2</v>
      </c>
      <c r="N252" s="11">
        <v>-419.16</v>
      </c>
      <c r="O252" s="92">
        <v>0</v>
      </c>
      <c r="P252" s="12"/>
      <c r="Q252" s="12"/>
    </row>
    <row r="253" spans="2:17" s="2" customFormat="1" ht="15.75" hidden="1" x14ac:dyDescent="0.25">
      <c r="B253" s="22">
        <v>249</v>
      </c>
      <c r="C253" s="89" t="s">
        <v>28</v>
      </c>
      <c r="D253" s="89" t="s">
        <v>33</v>
      </c>
      <c r="E253" s="89" t="s">
        <v>15</v>
      </c>
      <c r="F253" s="10">
        <v>43795</v>
      </c>
      <c r="G253" s="89" t="s">
        <v>390</v>
      </c>
      <c r="H253" s="22" t="s">
        <v>13</v>
      </c>
      <c r="I253" s="90">
        <v>2781</v>
      </c>
      <c r="J253" s="90">
        <v>1572.8</v>
      </c>
      <c r="K253" s="91">
        <f t="shared" si="3"/>
        <v>0.43444804027328299</v>
      </c>
      <c r="L253" s="90">
        <v>209.58</v>
      </c>
      <c r="M253" s="91">
        <f t="shared" si="2"/>
        <v>7.5361380798274008E-2</v>
      </c>
      <c r="N253" s="11">
        <v>-168</v>
      </c>
      <c r="O253" s="92">
        <v>0</v>
      </c>
      <c r="P253" s="12"/>
      <c r="Q253" s="12"/>
    </row>
    <row r="254" spans="2:17" s="2" customFormat="1" ht="15.75" hidden="1" x14ac:dyDescent="0.25">
      <c r="B254" s="22">
        <v>250</v>
      </c>
      <c r="C254" s="89" t="s">
        <v>28</v>
      </c>
      <c r="D254" s="89" t="s">
        <v>52</v>
      </c>
      <c r="E254" s="89" t="s">
        <v>449</v>
      </c>
      <c r="F254" s="10">
        <v>43791</v>
      </c>
      <c r="G254" s="89" t="s">
        <v>391</v>
      </c>
      <c r="H254" s="22" t="s">
        <v>20</v>
      </c>
      <c r="I254" s="90">
        <v>21137.43</v>
      </c>
      <c r="J254" s="90">
        <v>10138.219999999999</v>
      </c>
      <c r="K254" s="91">
        <f t="shared" si="3"/>
        <v>0.52036647785468715</v>
      </c>
      <c r="L254" s="90">
        <f>1773.49+100</f>
        <v>1873.49</v>
      </c>
      <c r="M254" s="91">
        <f t="shared" si="2"/>
        <v>8.863376484274578E-2</v>
      </c>
      <c r="N254" s="11">
        <v>-636.77</v>
      </c>
      <c r="O254" s="92">
        <v>100</v>
      </c>
      <c r="P254" s="12"/>
      <c r="Q254" s="12"/>
    </row>
    <row r="255" spans="2:17" s="2" customFormat="1" ht="15.75" hidden="1" x14ac:dyDescent="0.25">
      <c r="B255" s="22">
        <v>251</v>
      </c>
      <c r="C255" s="89" t="s">
        <v>386</v>
      </c>
      <c r="D255" s="89" t="s">
        <v>31</v>
      </c>
      <c r="E255" s="89" t="s">
        <v>92</v>
      </c>
      <c r="F255" s="10">
        <v>43715</v>
      </c>
      <c r="G255" s="89" t="s">
        <v>392</v>
      </c>
      <c r="H255" s="22" t="s">
        <v>62</v>
      </c>
      <c r="I255" s="90">
        <v>57275.28</v>
      </c>
      <c r="J255" s="90">
        <v>30208.29</v>
      </c>
      <c r="K255" s="91">
        <f t="shared" si="3"/>
        <v>0.4725771746554534</v>
      </c>
      <c r="L255" s="90">
        <v>4812.79</v>
      </c>
      <c r="M255" s="91">
        <f t="shared" si="2"/>
        <v>8.4029095972992185E-2</v>
      </c>
      <c r="N255" s="11">
        <v>2418.38</v>
      </c>
      <c r="O255" s="92">
        <v>0</v>
      </c>
      <c r="P255" s="12"/>
      <c r="Q255" s="12"/>
    </row>
    <row r="256" spans="2:17" s="2" customFormat="1" ht="15.75" hidden="1" x14ac:dyDescent="0.25">
      <c r="B256" s="22">
        <v>252</v>
      </c>
      <c r="C256" s="89" t="s">
        <v>28</v>
      </c>
      <c r="D256" s="89" t="s">
        <v>52</v>
      </c>
      <c r="E256" s="89" t="s">
        <v>445</v>
      </c>
      <c r="F256" s="10">
        <v>43657</v>
      </c>
      <c r="G256" s="89" t="s">
        <v>368</v>
      </c>
      <c r="H256" s="22" t="s">
        <v>16</v>
      </c>
      <c r="I256" s="90">
        <v>11499.42</v>
      </c>
      <c r="J256" s="90">
        <v>7241.05</v>
      </c>
      <c r="K256" s="91">
        <f t="shared" si="3"/>
        <v>0.37031172006936003</v>
      </c>
      <c r="L256" s="90">
        <v>815.39</v>
      </c>
      <c r="M256" s="91">
        <f t="shared" si="2"/>
        <v>7.0907054442745809E-2</v>
      </c>
      <c r="N256" s="11">
        <v>-2474.6799999999998</v>
      </c>
      <c r="O256" s="92">
        <v>672.82</v>
      </c>
      <c r="P256" s="12"/>
      <c r="Q256" s="12"/>
    </row>
    <row r="257" spans="2:17" s="2" customFormat="1" ht="15.75" hidden="1" x14ac:dyDescent="0.25">
      <c r="B257" s="22">
        <v>253</v>
      </c>
      <c r="C257" s="89" t="s">
        <v>41</v>
      </c>
      <c r="D257" s="89" t="s">
        <v>33</v>
      </c>
      <c r="E257" s="89" t="s">
        <v>88</v>
      </c>
      <c r="F257" s="10">
        <v>43810</v>
      </c>
      <c r="G257" s="89" t="s">
        <v>393</v>
      </c>
      <c r="H257" s="22" t="s">
        <v>19</v>
      </c>
      <c r="I257" s="90">
        <v>8621.09</v>
      </c>
      <c r="J257" s="90">
        <v>3836.78</v>
      </c>
      <c r="K257" s="91">
        <f t="shared" si="3"/>
        <v>0.55495418792751261</v>
      </c>
      <c r="L257" s="90">
        <v>1128.6199999999999</v>
      </c>
      <c r="M257" s="91">
        <f t="shared" si="2"/>
        <v>0.13091384036125361</v>
      </c>
      <c r="N257" s="11">
        <v>1044.29</v>
      </c>
      <c r="O257" s="92">
        <v>0</v>
      </c>
      <c r="P257" s="12"/>
      <c r="Q257" s="12"/>
    </row>
    <row r="258" spans="2:17" s="2" customFormat="1" ht="15.75" hidden="1" x14ac:dyDescent="0.25">
      <c r="B258" s="22">
        <v>254</v>
      </c>
      <c r="C258" s="89" t="s">
        <v>394</v>
      </c>
      <c r="D258" s="89" t="s">
        <v>26</v>
      </c>
      <c r="E258" s="89" t="s">
        <v>92</v>
      </c>
      <c r="F258" s="10">
        <v>43731</v>
      </c>
      <c r="G258" s="89" t="s">
        <v>395</v>
      </c>
      <c r="H258" s="22" t="s">
        <v>19</v>
      </c>
      <c r="I258" s="90">
        <v>15699.94</v>
      </c>
      <c r="J258" s="90">
        <v>7872.81</v>
      </c>
      <c r="K258" s="91">
        <f t="shared" si="3"/>
        <v>0.49854521737025748</v>
      </c>
      <c r="L258" s="90">
        <v>1538.39</v>
      </c>
      <c r="M258" s="91">
        <f t="shared" si="2"/>
        <v>9.7986998676428072E-2</v>
      </c>
      <c r="N258" s="11">
        <v>811.51</v>
      </c>
      <c r="O258" s="92">
        <v>0</v>
      </c>
      <c r="P258" s="12"/>
      <c r="Q258" s="12"/>
    </row>
    <row r="259" spans="2:17" s="2" customFormat="1" ht="15.75" hidden="1" x14ac:dyDescent="0.25">
      <c r="B259" s="22">
        <v>255</v>
      </c>
      <c r="C259" s="89" t="s">
        <v>28</v>
      </c>
      <c r="D259" s="89" t="s">
        <v>52</v>
      </c>
      <c r="E259" s="89" t="s">
        <v>444</v>
      </c>
      <c r="F259" s="10">
        <v>43780</v>
      </c>
      <c r="G259" s="89" t="s">
        <v>396</v>
      </c>
      <c r="H259" s="22" t="s">
        <v>16</v>
      </c>
      <c r="I259" s="90">
        <v>12960.37</v>
      </c>
      <c r="J259" s="90">
        <v>6659.97</v>
      </c>
      <c r="K259" s="91">
        <f t="shared" si="3"/>
        <v>0.48612809665156165</v>
      </c>
      <c r="L259" s="90">
        <v>1163.02</v>
      </c>
      <c r="M259" s="91">
        <f t="shared" si="2"/>
        <v>8.9736635605310644E-2</v>
      </c>
      <c r="N259" s="11">
        <v>68.45</v>
      </c>
      <c r="O259" s="92">
        <v>0</v>
      </c>
      <c r="P259" s="12"/>
      <c r="Q259" s="12"/>
    </row>
    <row r="260" spans="2:17" s="2" customFormat="1" ht="15.75" hidden="1" x14ac:dyDescent="0.25">
      <c r="B260" s="22">
        <v>256</v>
      </c>
      <c r="C260" s="89" t="s">
        <v>28</v>
      </c>
      <c r="D260" s="89" t="s">
        <v>39</v>
      </c>
      <c r="E260" s="89" t="s">
        <v>444</v>
      </c>
      <c r="F260" s="10">
        <v>43816</v>
      </c>
      <c r="G260" s="89" t="s">
        <v>397</v>
      </c>
      <c r="H260" s="22" t="s">
        <v>16</v>
      </c>
      <c r="I260" s="90">
        <v>8806.49</v>
      </c>
      <c r="J260" s="90">
        <v>3811.79</v>
      </c>
      <c r="K260" s="91">
        <f t="shared" si="3"/>
        <v>0.56716126402232903</v>
      </c>
      <c r="L260" s="90">
        <v>1251.42</v>
      </c>
      <c r="M260" s="91">
        <f t="shared" si="2"/>
        <v>0.14210201794358479</v>
      </c>
      <c r="N260" s="11">
        <v>970.69</v>
      </c>
      <c r="O260" s="92">
        <v>0</v>
      </c>
      <c r="P260" s="12"/>
      <c r="Q260" s="12"/>
    </row>
    <row r="261" spans="2:17" s="2" customFormat="1" ht="15.75" hidden="1" x14ac:dyDescent="0.25">
      <c r="B261" s="22">
        <v>257</v>
      </c>
      <c r="C261" s="89" t="s">
        <v>28</v>
      </c>
      <c r="D261" s="89" t="s">
        <v>26</v>
      </c>
      <c r="E261" s="89" t="s">
        <v>88</v>
      </c>
      <c r="F261" s="10">
        <v>43829</v>
      </c>
      <c r="G261" s="89" t="s">
        <v>398</v>
      </c>
      <c r="H261" s="22" t="s">
        <v>59</v>
      </c>
      <c r="I261" s="90">
        <v>9269.99</v>
      </c>
      <c r="J261" s="90">
        <v>3531.76</v>
      </c>
      <c r="K261" s="91">
        <f t="shared" si="3"/>
        <v>0.61901145524428824</v>
      </c>
      <c r="L261" s="90">
        <f>728.29+O261</f>
        <v>978.29</v>
      </c>
      <c r="M261" s="91">
        <f t="shared" si="2"/>
        <v>0.10553301567747106</v>
      </c>
      <c r="N261" s="11">
        <v>-103.01</v>
      </c>
      <c r="O261" s="92">
        <v>250</v>
      </c>
      <c r="P261" s="12"/>
      <c r="Q261" s="12"/>
    </row>
    <row r="262" spans="2:17" s="2" customFormat="1" ht="15.75" hidden="1" x14ac:dyDescent="0.25">
      <c r="B262" s="22">
        <v>258</v>
      </c>
      <c r="C262" s="89" t="s">
        <v>38</v>
      </c>
      <c r="D262" s="89" t="s">
        <v>90</v>
      </c>
      <c r="E262" s="89" t="s">
        <v>92</v>
      </c>
      <c r="F262" s="10">
        <v>43725</v>
      </c>
      <c r="G262" s="89" t="s">
        <v>399</v>
      </c>
      <c r="H262" s="22" t="s">
        <v>19</v>
      </c>
      <c r="I262" s="90">
        <v>4219.37</v>
      </c>
      <c r="J262" s="90">
        <v>3069.55</v>
      </c>
      <c r="K262" s="91">
        <f t="shared" si="3"/>
        <v>0.27250987706695545</v>
      </c>
      <c r="L262" s="90">
        <v>0</v>
      </c>
      <c r="M262" s="91">
        <f t="shared" si="2"/>
        <v>0</v>
      </c>
      <c r="N262" s="11">
        <v>-905.33</v>
      </c>
      <c r="O262" s="92">
        <v>17.52</v>
      </c>
      <c r="P262" s="12"/>
      <c r="Q262" s="12"/>
    </row>
    <row r="263" spans="2:17" s="2" customFormat="1" ht="15.75" hidden="1" x14ac:dyDescent="0.25">
      <c r="B263" s="22">
        <v>259</v>
      </c>
      <c r="C263" s="89" t="s">
        <v>41</v>
      </c>
      <c r="D263" s="89" t="s">
        <v>26</v>
      </c>
      <c r="E263" s="89" t="s">
        <v>92</v>
      </c>
      <c r="F263" s="10">
        <v>43769</v>
      </c>
      <c r="G263" s="89" t="s">
        <v>400</v>
      </c>
      <c r="H263" s="22" t="s">
        <v>59</v>
      </c>
      <c r="I263" s="90">
        <v>11763.9</v>
      </c>
      <c r="J263" s="90">
        <v>4821.49</v>
      </c>
      <c r="K263" s="91">
        <f t="shared" si="3"/>
        <v>0.59014527495133418</v>
      </c>
      <c r="L263" s="90">
        <f>992.8+O263</f>
        <v>1192.8</v>
      </c>
      <c r="M263" s="91">
        <f t="shared" si="2"/>
        <v>0.10139494555377043</v>
      </c>
      <c r="N263" s="11">
        <v>350.4</v>
      </c>
      <c r="O263" s="92">
        <v>200</v>
      </c>
      <c r="P263" s="12"/>
      <c r="Q263" s="12"/>
    </row>
    <row r="264" spans="2:17" s="2" customFormat="1" ht="15.75" hidden="1" x14ac:dyDescent="0.25">
      <c r="B264" s="22">
        <v>260</v>
      </c>
      <c r="C264" s="89" t="s">
        <v>28</v>
      </c>
      <c r="D264" s="89" t="s">
        <v>33</v>
      </c>
      <c r="E264" s="89" t="s">
        <v>444</v>
      </c>
      <c r="F264" s="10">
        <v>43762</v>
      </c>
      <c r="G264" s="89" t="s">
        <v>401</v>
      </c>
      <c r="H264" s="22" t="s">
        <v>16</v>
      </c>
      <c r="I264" s="90">
        <v>9221.7800000000007</v>
      </c>
      <c r="J264" s="90">
        <v>4797.95</v>
      </c>
      <c r="K264" s="91">
        <f t="shared" si="3"/>
        <v>0.47971541285955643</v>
      </c>
      <c r="L264" s="90">
        <v>767.75</v>
      </c>
      <c r="M264" s="91">
        <f t="shared" si="2"/>
        <v>8.325399217938402E-2</v>
      </c>
      <c r="N264" s="11">
        <v>-132.32</v>
      </c>
      <c r="O264" s="92">
        <v>0</v>
      </c>
      <c r="P264" s="12"/>
      <c r="Q264" s="12"/>
    </row>
    <row r="265" spans="2:17" s="2" customFormat="1" ht="15.75" hidden="1" x14ac:dyDescent="0.25">
      <c r="B265" s="22">
        <v>261</v>
      </c>
      <c r="C265" s="89" t="s">
        <v>41</v>
      </c>
      <c r="D265" s="89" t="s">
        <v>52</v>
      </c>
      <c r="E265" s="89" t="s">
        <v>15</v>
      </c>
      <c r="F265" s="10">
        <v>43815</v>
      </c>
      <c r="G265" s="89" t="s">
        <v>402</v>
      </c>
      <c r="H265" s="22" t="s">
        <v>16</v>
      </c>
      <c r="I265" s="90">
        <v>9991.8700000000008</v>
      </c>
      <c r="J265" s="90">
        <v>5948.08</v>
      </c>
      <c r="K265" s="91">
        <f t="shared" si="3"/>
        <v>0.40470802762646035</v>
      </c>
      <c r="L265" s="90">
        <f>639.7+O265</f>
        <v>739.7</v>
      </c>
      <c r="M265" s="91">
        <f t="shared" si="2"/>
        <v>7.4030186541658369E-2</v>
      </c>
      <c r="N265" s="11">
        <v>-828.73</v>
      </c>
      <c r="O265" s="92">
        <v>100</v>
      </c>
      <c r="P265" s="12"/>
      <c r="Q265" s="12"/>
    </row>
    <row r="266" spans="2:17" s="2" customFormat="1" ht="15.75" hidden="1" x14ac:dyDescent="0.25">
      <c r="B266" s="22">
        <v>263</v>
      </c>
      <c r="C266" s="89" t="s">
        <v>34</v>
      </c>
      <c r="D266" s="89" t="s">
        <v>90</v>
      </c>
      <c r="E266" s="89" t="s">
        <v>92</v>
      </c>
      <c r="F266" s="10">
        <v>43813</v>
      </c>
      <c r="G266" s="89" t="s">
        <v>403</v>
      </c>
      <c r="H266" s="22" t="s">
        <v>19</v>
      </c>
      <c r="I266" s="90">
        <v>6947.74</v>
      </c>
      <c r="J266" s="90">
        <v>2522.23</v>
      </c>
      <c r="K266" s="91">
        <f t="shared" si="3"/>
        <v>0.63697115896680079</v>
      </c>
      <c r="L266" s="90">
        <v>971.79</v>
      </c>
      <c r="M266" s="91">
        <f t="shared" si="2"/>
        <v>0.13987138263665594</v>
      </c>
      <c r="N266" s="11">
        <v>797.54</v>
      </c>
      <c r="O266" s="92">
        <v>0</v>
      </c>
      <c r="P266" s="12"/>
      <c r="Q266" s="12"/>
    </row>
    <row r="267" spans="2:17" s="2" customFormat="1" ht="15.75" hidden="1" x14ac:dyDescent="0.25">
      <c r="B267" s="22">
        <v>264</v>
      </c>
      <c r="C267" s="89" t="s">
        <v>44</v>
      </c>
      <c r="D267" s="89" t="s">
        <v>33</v>
      </c>
      <c r="E267" s="89" t="s">
        <v>88</v>
      </c>
      <c r="F267" s="10">
        <v>43747</v>
      </c>
      <c r="G267" s="89" t="s">
        <v>162</v>
      </c>
      <c r="H267" s="22" t="s">
        <v>19</v>
      </c>
      <c r="I267" s="90">
        <v>9997.9</v>
      </c>
      <c r="J267" s="90">
        <v>4920.82</v>
      </c>
      <c r="K267" s="91">
        <f t="shared" si="3"/>
        <v>0.50781464107462571</v>
      </c>
      <c r="L267" s="90">
        <v>1019.38</v>
      </c>
      <c r="M267" s="91">
        <f t="shared" si="2"/>
        <v>0.10195941147641005</v>
      </c>
      <c r="N267" s="11">
        <v>512.9</v>
      </c>
      <c r="O267" s="92">
        <v>0</v>
      </c>
      <c r="P267" s="12"/>
      <c r="Q267" s="12"/>
    </row>
    <row r="268" spans="2:17" s="2" customFormat="1" ht="15.75" hidden="1" x14ac:dyDescent="0.25">
      <c r="B268" s="22">
        <v>265</v>
      </c>
      <c r="C268" s="89" t="s">
        <v>41</v>
      </c>
      <c r="D268" s="89" t="s">
        <v>39</v>
      </c>
      <c r="E268" s="89" t="s">
        <v>404</v>
      </c>
      <c r="F268" s="10">
        <v>43775</v>
      </c>
      <c r="G268" s="89" t="s">
        <v>207</v>
      </c>
      <c r="H268" s="22" t="s">
        <v>18</v>
      </c>
      <c r="I268" s="90">
        <v>17643.650000000001</v>
      </c>
      <c r="J268" s="90">
        <v>7245.2</v>
      </c>
      <c r="K268" s="91">
        <f t="shared" si="3"/>
        <v>0.58935934458006134</v>
      </c>
      <c r="L268" s="90">
        <v>2444.83</v>
      </c>
      <c r="M268" s="91">
        <f t="shared" si="2"/>
        <v>0.1385671332178999</v>
      </c>
      <c r="N268" s="11">
        <v>1872.65</v>
      </c>
      <c r="O268" s="92">
        <v>0</v>
      </c>
      <c r="P268" s="12"/>
      <c r="Q268" s="12"/>
    </row>
    <row r="269" spans="2:17" s="2" customFormat="1" ht="15.75" hidden="1" x14ac:dyDescent="0.25">
      <c r="B269" s="22">
        <v>266</v>
      </c>
      <c r="C269" s="89" t="s">
        <v>28</v>
      </c>
      <c r="D269" s="89" t="s">
        <v>33</v>
      </c>
      <c r="E269" s="89" t="s">
        <v>445</v>
      </c>
      <c r="F269" s="10">
        <v>43669</v>
      </c>
      <c r="G269" s="89" t="s">
        <v>405</v>
      </c>
      <c r="H269" s="22" t="s">
        <v>443</v>
      </c>
      <c r="I269" s="90">
        <v>28736.959999999999</v>
      </c>
      <c r="J269" s="90">
        <v>14099.22</v>
      </c>
      <c r="K269" s="91">
        <f t="shared" si="3"/>
        <v>0.50936981503958667</v>
      </c>
      <c r="L269" s="90">
        <f>2181.06+O269</f>
        <v>2781.06</v>
      </c>
      <c r="M269" s="91">
        <f t="shared" si="2"/>
        <v>9.6776416155362296E-2</v>
      </c>
      <c r="N269" s="11">
        <v>-842.94</v>
      </c>
      <c r="O269" s="92">
        <v>600</v>
      </c>
      <c r="P269" s="12"/>
      <c r="Q269" s="12"/>
    </row>
    <row r="270" spans="2:17" s="2" customFormat="1" ht="15.75" hidden="1" x14ac:dyDescent="0.25">
      <c r="B270" s="22">
        <v>267</v>
      </c>
      <c r="C270" s="89" t="s">
        <v>28</v>
      </c>
      <c r="D270" s="89" t="s">
        <v>52</v>
      </c>
      <c r="E270" s="89" t="s">
        <v>406</v>
      </c>
      <c r="F270" s="10">
        <v>43739</v>
      </c>
      <c r="G270" s="89" t="s">
        <v>407</v>
      </c>
      <c r="H270" s="22" t="s">
        <v>16</v>
      </c>
      <c r="I270" s="90">
        <v>8376.36</v>
      </c>
      <c r="J270" s="90">
        <v>7204.2</v>
      </c>
      <c r="K270" s="91">
        <f t="shared" si="3"/>
        <v>0.13993667893930067</v>
      </c>
      <c r="L270" s="90">
        <v>739.28</v>
      </c>
      <c r="M270" s="91">
        <f t="shared" si="2"/>
        <v>8.8257906775735515E-2</v>
      </c>
      <c r="N270" s="11">
        <v>-202.14</v>
      </c>
      <c r="O270" s="92">
        <v>0</v>
      </c>
      <c r="P270" s="12"/>
      <c r="Q270" s="12"/>
    </row>
    <row r="271" spans="2:17" s="2" customFormat="1" ht="15.75" hidden="1" x14ac:dyDescent="0.25">
      <c r="B271" s="22">
        <v>268</v>
      </c>
      <c r="C271" s="89" t="s">
        <v>28</v>
      </c>
      <c r="D271" s="89" t="s">
        <v>39</v>
      </c>
      <c r="E271" s="89" t="s">
        <v>404</v>
      </c>
      <c r="F271" s="10">
        <v>43785</v>
      </c>
      <c r="G271" s="89" t="s">
        <v>32</v>
      </c>
      <c r="H271" s="22" t="s">
        <v>18</v>
      </c>
      <c r="I271" s="90">
        <v>36894.559999999998</v>
      </c>
      <c r="J271" s="90">
        <v>20676.990000000002</v>
      </c>
      <c r="K271" s="91">
        <f t="shared" si="3"/>
        <v>0.43956534513489243</v>
      </c>
      <c r="L271" s="90">
        <v>2815.16</v>
      </c>
      <c r="M271" s="91">
        <f t="shared" si="2"/>
        <v>7.6302847899527737E-2</v>
      </c>
      <c r="N271" s="11">
        <v>-523.24</v>
      </c>
      <c r="O271" s="92">
        <v>0</v>
      </c>
      <c r="P271" s="12"/>
      <c r="Q271" s="12"/>
    </row>
    <row r="272" spans="2:17" s="2" customFormat="1" ht="15.75" hidden="1" x14ac:dyDescent="0.25">
      <c r="B272" s="22">
        <v>269</v>
      </c>
      <c r="C272" s="89" t="s">
        <v>28</v>
      </c>
      <c r="D272" s="89" t="s">
        <v>39</v>
      </c>
      <c r="E272" s="89" t="s">
        <v>404</v>
      </c>
      <c r="F272" s="10">
        <v>43729</v>
      </c>
      <c r="G272" s="89" t="s">
        <v>408</v>
      </c>
      <c r="H272" s="22" t="s">
        <v>18</v>
      </c>
      <c r="I272" s="90">
        <v>23619.93</v>
      </c>
      <c r="J272" s="90">
        <v>11887.3</v>
      </c>
      <c r="K272" s="91">
        <f t="shared" si="3"/>
        <v>0.49672585820533766</v>
      </c>
      <c r="L272" s="90">
        <v>2156.9699999999998</v>
      </c>
      <c r="M272" s="91">
        <f t="shared" si="2"/>
        <v>9.1319915003981803E-2</v>
      </c>
      <c r="N272" s="11">
        <v>-442.57</v>
      </c>
      <c r="O272" s="92">
        <v>0</v>
      </c>
      <c r="P272" s="12"/>
      <c r="Q272" s="12"/>
    </row>
    <row r="273" spans="2:17" s="2" customFormat="1" ht="15.75" hidden="1" x14ac:dyDescent="0.25">
      <c r="B273" s="22">
        <v>270</v>
      </c>
      <c r="C273" s="89" t="s">
        <v>28</v>
      </c>
      <c r="D273" s="89" t="s">
        <v>39</v>
      </c>
      <c r="E273" s="89" t="s">
        <v>404</v>
      </c>
      <c r="F273" s="10">
        <v>43780</v>
      </c>
      <c r="G273" s="89" t="s">
        <v>409</v>
      </c>
      <c r="H273" s="22" t="s">
        <v>18</v>
      </c>
      <c r="I273" s="90">
        <v>26188.42</v>
      </c>
      <c r="J273" s="90">
        <f>11625.71+98</f>
        <v>11723.71</v>
      </c>
      <c r="K273" s="91">
        <f t="shared" si="3"/>
        <v>0.55233229037872467</v>
      </c>
      <c r="L273" s="90">
        <v>3503.93</v>
      </c>
      <c r="M273" s="91">
        <f t="shared" si="2"/>
        <v>0.13379692245656669</v>
      </c>
      <c r="N273" s="11">
        <v>2282.77</v>
      </c>
      <c r="O273" s="92">
        <v>0</v>
      </c>
      <c r="P273" s="12"/>
      <c r="Q273" s="12"/>
    </row>
    <row r="274" spans="2:17" s="2" customFormat="1" ht="15.75" hidden="1" x14ac:dyDescent="0.25">
      <c r="B274" s="22">
        <v>271</v>
      </c>
      <c r="C274" s="89" t="s">
        <v>28</v>
      </c>
      <c r="D274" s="89" t="s">
        <v>33</v>
      </c>
      <c r="E274" s="89" t="s">
        <v>406</v>
      </c>
      <c r="F274" s="10">
        <v>43735</v>
      </c>
      <c r="G274" s="89" t="s">
        <v>410</v>
      </c>
      <c r="H274" s="22" t="s">
        <v>443</v>
      </c>
      <c r="I274" s="90">
        <v>19290.77</v>
      </c>
      <c r="J274" s="90">
        <v>9321.0400000000009</v>
      </c>
      <c r="K274" s="91">
        <f t="shared" si="3"/>
        <v>0.51681348126591109</v>
      </c>
      <c r="L274" s="90">
        <v>2192.62</v>
      </c>
      <c r="M274" s="91">
        <f t="shared" si="2"/>
        <v>0.11366161122650884</v>
      </c>
      <c r="N274" s="11">
        <v>728.87</v>
      </c>
      <c r="O274" s="92">
        <v>0</v>
      </c>
      <c r="P274" s="12"/>
      <c r="Q274" s="12"/>
    </row>
    <row r="275" spans="2:17" s="2" customFormat="1" ht="15.75" hidden="1" x14ac:dyDescent="0.25">
      <c r="B275" s="22">
        <v>272</v>
      </c>
      <c r="C275" s="89" t="s">
        <v>28</v>
      </c>
      <c r="D275" s="89" t="s">
        <v>39</v>
      </c>
      <c r="E275" s="89" t="s">
        <v>404</v>
      </c>
      <c r="F275" s="10">
        <v>43759</v>
      </c>
      <c r="G275" s="89" t="s">
        <v>48</v>
      </c>
      <c r="H275" s="22" t="s">
        <v>18</v>
      </c>
      <c r="I275" s="90">
        <v>23912.26</v>
      </c>
      <c r="J275" s="90">
        <v>13524.05</v>
      </c>
      <c r="K275" s="91">
        <f t="shared" si="3"/>
        <v>0.43443028806143791</v>
      </c>
      <c r="L275" s="90">
        <v>1967.23</v>
      </c>
      <c r="M275" s="91">
        <f t="shared" si="2"/>
        <v>8.2268677239207014E-2</v>
      </c>
      <c r="N275" s="11">
        <v>-192.74</v>
      </c>
      <c r="O275" s="92">
        <v>0</v>
      </c>
      <c r="P275" s="12"/>
      <c r="Q275" s="12"/>
    </row>
    <row r="276" spans="2:17" s="2" customFormat="1" ht="15.75" hidden="1" x14ac:dyDescent="0.25">
      <c r="B276" s="22">
        <v>273</v>
      </c>
      <c r="C276" s="89" t="s">
        <v>28</v>
      </c>
      <c r="D276" s="89" t="s">
        <v>52</v>
      </c>
      <c r="E276" s="89" t="s">
        <v>406</v>
      </c>
      <c r="F276" s="10">
        <v>43781</v>
      </c>
      <c r="G276" s="89" t="s">
        <v>48</v>
      </c>
      <c r="H276" s="22" t="s">
        <v>16</v>
      </c>
      <c r="I276" s="90">
        <v>5949.48</v>
      </c>
      <c r="J276" s="90">
        <v>3039.85</v>
      </c>
      <c r="K276" s="91">
        <f t="shared" si="3"/>
        <v>0.48905618642301507</v>
      </c>
      <c r="L276" s="90">
        <v>553.54999999999995</v>
      </c>
      <c r="M276" s="91">
        <f t="shared" si="2"/>
        <v>9.3041744824757799E-2</v>
      </c>
      <c r="N276" s="11">
        <v>-59.74</v>
      </c>
      <c r="O276" s="92">
        <v>0</v>
      </c>
      <c r="P276" s="12"/>
      <c r="Q276" s="12"/>
    </row>
    <row r="277" spans="2:17" s="2" customFormat="1" ht="15.75" hidden="1" x14ac:dyDescent="0.25">
      <c r="B277" s="22">
        <v>274</v>
      </c>
      <c r="C277" s="89" t="s">
        <v>38</v>
      </c>
      <c r="D277" s="89" t="s">
        <v>39</v>
      </c>
      <c r="E277" s="89" t="s">
        <v>444</v>
      </c>
      <c r="F277" s="10">
        <v>43776</v>
      </c>
      <c r="G277" s="89" t="s">
        <v>55</v>
      </c>
      <c r="H277" s="22" t="s">
        <v>16</v>
      </c>
      <c r="I277" s="90">
        <v>13302.22</v>
      </c>
      <c r="J277" s="90">
        <v>5540.8</v>
      </c>
      <c r="K277" s="91">
        <f>(I277-J277)/I277</f>
        <v>0.58346802263080899</v>
      </c>
      <c r="L277" s="90">
        <v>1877.95</v>
      </c>
      <c r="M277" s="91">
        <f>L277/I277</f>
        <v>0.14117568345734774</v>
      </c>
      <c r="N277" s="11">
        <v>1568.12</v>
      </c>
      <c r="O277" s="92">
        <v>0</v>
      </c>
      <c r="P277" s="12"/>
      <c r="Q277" s="12"/>
    </row>
    <row r="278" spans="2:17" s="2" customFormat="1" ht="15.75" hidden="1" x14ac:dyDescent="0.25">
      <c r="B278" s="22">
        <v>275</v>
      </c>
      <c r="C278" s="89" t="s">
        <v>28</v>
      </c>
      <c r="D278" s="89" t="s">
        <v>52</v>
      </c>
      <c r="E278" s="89" t="s">
        <v>445</v>
      </c>
      <c r="F278" s="10">
        <v>43719</v>
      </c>
      <c r="G278" s="89" t="s">
        <v>411</v>
      </c>
      <c r="H278" s="22" t="s">
        <v>16</v>
      </c>
      <c r="I278" s="90">
        <v>9317.26</v>
      </c>
      <c r="J278" s="90">
        <v>14353.8</v>
      </c>
      <c r="K278" s="91">
        <f>(I278-J278)/I278</f>
        <v>-0.54056020761468493</v>
      </c>
      <c r="L278" s="90">
        <v>472.61</v>
      </c>
      <c r="M278" s="91">
        <f>L278/I278</f>
        <v>5.0724139929550105E-2</v>
      </c>
      <c r="N278" s="11">
        <v>-1269.24</v>
      </c>
      <c r="O278" s="92">
        <v>106.58</v>
      </c>
      <c r="P278" s="12"/>
      <c r="Q278" s="8"/>
    </row>
    <row r="279" spans="2:17" s="2" customFormat="1" ht="15.75" hidden="1" x14ac:dyDescent="0.25">
      <c r="B279" s="22">
        <v>276</v>
      </c>
      <c r="C279" s="89" t="s">
        <v>28</v>
      </c>
      <c r="D279" s="89" t="s">
        <v>33</v>
      </c>
      <c r="E279" s="89" t="s">
        <v>446</v>
      </c>
      <c r="F279" s="10">
        <v>43754</v>
      </c>
      <c r="G279" s="89" t="s">
        <v>412</v>
      </c>
      <c r="H279" s="22" t="s">
        <v>16</v>
      </c>
      <c r="I279" s="90">
        <v>9269.99</v>
      </c>
      <c r="J279" s="90">
        <v>5503.02</v>
      </c>
      <c r="K279" s="91">
        <f>(I279-J279)/I279</f>
        <v>0.40636181916053843</v>
      </c>
      <c r="L279" s="90">
        <v>647.11</v>
      </c>
      <c r="M279" s="91">
        <f>L279/I279</f>
        <v>6.9806979295554794E-2</v>
      </c>
      <c r="N279" s="11">
        <v>-479.71</v>
      </c>
      <c r="O279" s="92">
        <v>0</v>
      </c>
      <c r="P279" s="12"/>
      <c r="Q279" s="8"/>
    </row>
    <row r="280" spans="2:17" s="2" customFormat="1" ht="15.75" hidden="1" x14ac:dyDescent="0.25">
      <c r="B280" s="22">
        <v>277</v>
      </c>
      <c r="C280" s="89" t="s">
        <v>28</v>
      </c>
      <c r="D280" s="89" t="s">
        <v>52</v>
      </c>
      <c r="E280" s="89" t="s">
        <v>445</v>
      </c>
      <c r="F280" s="10">
        <v>43687</v>
      </c>
      <c r="G280" s="89" t="s">
        <v>413</v>
      </c>
      <c r="H280" s="22" t="s">
        <v>443</v>
      </c>
      <c r="I280" s="90">
        <v>18103.36</v>
      </c>
      <c r="J280" s="90">
        <v>10030.64</v>
      </c>
      <c r="K280" s="91">
        <f t="shared" si="3"/>
        <v>0.44592385060010964</v>
      </c>
      <c r="L280" s="90">
        <v>1279.1600000000001</v>
      </c>
      <c r="M280" s="91">
        <f t="shared" si="2"/>
        <v>7.0658706450073355E-2</v>
      </c>
      <c r="N280" s="11">
        <v>1257.94</v>
      </c>
      <c r="O280" s="92">
        <v>0</v>
      </c>
      <c r="P280" s="12"/>
      <c r="Q280" s="8"/>
    </row>
    <row r="281" spans="2:17" s="2" customFormat="1" ht="15.75" hidden="1" x14ac:dyDescent="0.25">
      <c r="B281" s="22">
        <v>278</v>
      </c>
      <c r="C281" s="89" t="s">
        <v>28</v>
      </c>
      <c r="D281" s="89" t="s">
        <v>52</v>
      </c>
      <c r="E281" s="89" t="s">
        <v>445</v>
      </c>
      <c r="F281" s="10">
        <v>43717</v>
      </c>
      <c r="G281" s="89" t="s">
        <v>414</v>
      </c>
      <c r="H281" s="22" t="s">
        <v>16</v>
      </c>
      <c r="I281" s="90">
        <v>6398.15</v>
      </c>
      <c r="J281" s="90">
        <v>3230.51</v>
      </c>
      <c r="K281" s="91">
        <f t="shared" si="3"/>
        <v>0.49508686104577099</v>
      </c>
      <c r="L281" s="90">
        <v>962.01</v>
      </c>
      <c r="M281" s="91">
        <f t="shared" si="2"/>
        <v>0.15035752522213452</v>
      </c>
      <c r="N281" s="11">
        <v>849.25</v>
      </c>
      <c r="O281" s="92">
        <v>0</v>
      </c>
      <c r="P281" s="12"/>
      <c r="Q281" s="8"/>
    </row>
    <row r="282" spans="2:17" s="2" customFormat="1" ht="15.75" hidden="1" x14ac:dyDescent="0.25">
      <c r="B282" s="22">
        <v>279</v>
      </c>
      <c r="C282" s="89" t="s">
        <v>34</v>
      </c>
      <c r="D282" s="89" t="s">
        <v>52</v>
      </c>
      <c r="E282" s="89" t="s">
        <v>444</v>
      </c>
      <c r="F282" s="10">
        <v>43759</v>
      </c>
      <c r="G282" s="89" t="s">
        <v>415</v>
      </c>
      <c r="H282" s="22" t="s">
        <v>443</v>
      </c>
      <c r="I282" s="90">
        <v>24000</v>
      </c>
      <c r="J282" s="90">
        <v>14229.23</v>
      </c>
      <c r="K282" s="91">
        <f>(I282-J282)/I282</f>
        <v>0.40711541666666667</v>
      </c>
      <c r="L282" s="90">
        <v>1318.14</v>
      </c>
      <c r="M282" s="91">
        <f>L282/I282</f>
        <v>5.4922500000000006E-2</v>
      </c>
      <c r="N282" s="11">
        <v>-2446</v>
      </c>
      <c r="O282" s="92">
        <v>0</v>
      </c>
      <c r="P282" s="12"/>
      <c r="Q282" s="8"/>
    </row>
    <row r="283" spans="2:17" s="2" customFormat="1" ht="15.75" hidden="1" x14ac:dyDescent="0.25">
      <c r="B283" s="22">
        <v>280</v>
      </c>
      <c r="C283" s="89" t="s">
        <v>416</v>
      </c>
      <c r="D283" s="89" t="s">
        <v>26</v>
      </c>
      <c r="E283" s="89" t="s">
        <v>92</v>
      </c>
      <c r="F283" s="10">
        <v>43789</v>
      </c>
      <c r="G283" s="89" t="s">
        <v>417</v>
      </c>
      <c r="H283" s="22" t="s">
        <v>59</v>
      </c>
      <c r="I283" s="90">
        <v>8290.9699999999993</v>
      </c>
      <c r="J283" s="90">
        <v>4163.75</v>
      </c>
      <c r="K283" s="91">
        <f t="shared" ref="K283:K294" si="4">(I283-J283)/I283</f>
        <v>0.49779700083343681</v>
      </c>
      <c r="L283" s="90">
        <v>897.48</v>
      </c>
      <c r="M283" s="91">
        <f t="shared" ref="M283:M294" si="5">L283/I283</f>
        <v>0.10824788896835956</v>
      </c>
      <c r="N283" s="11">
        <v>643.47</v>
      </c>
      <c r="O283" s="92">
        <v>0</v>
      </c>
      <c r="P283" s="12"/>
      <c r="Q283" s="8"/>
    </row>
    <row r="284" spans="2:17" s="2" customFormat="1" ht="15.75" hidden="1" x14ac:dyDescent="0.25">
      <c r="B284" s="22">
        <v>281</v>
      </c>
      <c r="C284" s="89" t="s">
        <v>386</v>
      </c>
      <c r="D284" s="89" t="s">
        <v>31</v>
      </c>
      <c r="E284" s="89" t="s">
        <v>449</v>
      </c>
      <c r="F284" s="10">
        <v>43830</v>
      </c>
      <c r="G284" s="89" t="s">
        <v>387</v>
      </c>
      <c r="H284" s="22" t="s">
        <v>104</v>
      </c>
      <c r="I284" s="90">
        <v>10388.76</v>
      </c>
      <c r="J284" s="90">
        <v>5172.57</v>
      </c>
      <c r="K284" s="91">
        <f t="shared" si="4"/>
        <v>0.50209938433460788</v>
      </c>
      <c r="L284" s="90">
        <v>1000.48</v>
      </c>
      <c r="M284" s="91">
        <f t="shared" si="5"/>
        <v>9.6304082489151732E-2</v>
      </c>
      <c r="N284" s="11">
        <v>-34.729999999999997</v>
      </c>
      <c r="O284" s="92">
        <v>0</v>
      </c>
      <c r="P284" s="12"/>
      <c r="Q284" s="8"/>
    </row>
    <row r="285" spans="2:17" s="2" customFormat="1" ht="15.75" hidden="1" x14ac:dyDescent="0.25">
      <c r="B285" s="22">
        <v>282</v>
      </c>
      <c r="C285" s="89" t="s">
        <v>28</v>
      </c>
      <c r="D285" s="89" t="s">
        <v>31</v>
      </c>
      <c r="E285" s="89" t="s">
        <v>449</v>
      </c>
      <c r="F285" s="10">
        <v>43781</v>
      </c>
      <c r="G285" s="89" t="s">
        <v>418</v>
      </c>
      <c r="H285" s="22" t="s">
        <v>13</v>
      </c>
      <c r="I285" s="90">
        <v>21560</v>
      </c>
      <c r="J285" s="90">
        <v>11098.25</v>
      </c>
      <c r="K285" s="91">
        <f t="shared" si="4"/>
        <v>0.48523886827458257</v>
      </c>
      <c r="L285" s="90">
        <v>2075.5</v>
      </c>
      <c r="M285" s="91">
        <f t="shared" si="5"/>
        <v>9.6266233766233764E-2</v>
      </c>
      <c r="N285" s="11">
        <v>-140</v>
      </c>
      <c r="O285" s="92">
        <v>0</v>
      </c>
      <c r="P285" s="12"/>
      <c r="Q285" s="8"/>
    </row>
    <row r="286" spans="2:17" s="2" customFormat="1" ht="15.75" hidden="1" x14ac:dyDescent="0.25">
      <c r="B286" s="22">
        <v>283</v>
      </c>
      <c r="C286" s="89" t="s">
        <v>38</v>
      </c>
      <c r="D286" s="89" t="s">
        <v>26</v>
      </c>
      <c r="E286" s="89" t="s">
        <v>92</v>
      </c>
      <c r="F286" s="10">
        <v>43816</v>
      </c>
      <c r="G286" s="89" t="s">
        <v>419</v>
      </c>
      <c r="H286" s="22" t="s">
        <v>19</v>
      </c>
      <c r="I286" s="90">
        <v>4518.7299999999996</v>
      </c>
      <c r="J286" s="90">
        <v>2336.5700000000002</v>
      </c>
      <c r="K286" s="91">
        <f t="shared" si="4"/>
        <v>0.48291444720087273</v>
      </c>
      <c r="L286" s="90">
        <v>499.85</v>
      </c>
      <c r="M286" s="91">
        <f t="shared" si="5"/>
        <v>0.1106173637283042</v>
      </c>
      <c r="N286" s="11">
        <v>215.13</v>
      </c>
      <c r="O286" s="92">
        <v>0</v>
      </c>
      <c r="P286" s="12"/>
      <c r="Q286" s="8"/>
    </row>
    <row r="287" spans="2:17" s="2" customFormat="1" ht="15.75" hidden="1" x14ac:dyDescent="0.25">
      <c r="B287" s="22">
        <v>284</v>
      </c>
      <c r="C287" s="89" t="s">
        <v>28</v>
      </c>
      <c r="D287" s="89" t="s">
        <v>52</v>
      </c>
      <c r="E287" s="89" t="s">
        <v>445</v>
      </c>
      <c r="F287" s="10">
        <v>43748</v>
      </c>
      <c r="G287" s="89" t="s">
        <v>420</v>
      </c>
      <c r="H287" s="22" t="s">
        <v>443</v>
      </c>
      <c r="I287" s="90">
        <v>19276.009999999998</v>
      </c>
      <c r="J287" s="90">
        <v>10598.57</v>
      </c>
      <c r="K287" s="91">
        <f>(I287-J287)/I287</f>
        <v>0.45016785112686697</v>
      </c>
      <c r="L287" s="90">
        <v>2099.15</v>
      </c>
      <c r="M287" s="91">
        <f>L287/I287</f>
        <v>0.10889961148598699</v>
      </c>
      <c r="N287" s="11">
        <v>511.11</v>
      </c>
      <c r="O287" s="92">
        <v>0</v>
      </c>
      <c r="P287" s="12"/>
      <c r="Q287" s="8"/>
    </row>
    <row r="288" spans="2:17" s="2" customFormat="1" ht="15.75" hidden="1" x14ac:dyDescent="0.25">
      <c r="B288" s="22">
        <v>285</v>
      </c>
      <c r="C288" s="89" t="s">
        <v>28</v>
      </c>
      <c r="D288" s="89" t="s">
        <v>52</v>
      </c>
      <c r="E288" s="89" t="s">
        <v>445</v>
      </c>
      <c r="F288" s="10">
        <v>43806</v>
      </c>
      <c r="G288" s="89" t="s">
        <v>421</v>
      </c>
      <c r="H288" s="22" t="s">
        <v>443</v>
      </c>
      <c r="I288" s="90">
        <v>26303.59</v>
      </c>
      <c r="J288" s="90">
        <v>17222.54</v>
      </c>
      <c r="K288" s="91">
        <f>(I288-J288)/I288</f>
        <v>0.34523994633432165</v>
      </c>
      <c r="L288" s="90">
        <v>1192.3399999999999</v>
      </c>
      <c r="M288" s="91">
        <f>L288/I288</f>
        <v>4.5329934050827282E-2</v>
      </c>
      <c r="N288" s="11">
        <v>-3286.31</v>
      </c>
      <c r="O288" s="92">
        <v>0</v>
      </c>
      <c r="P288" s="12"/>
      <c r="Q288" s="8"/>
    </row>
    <row r="289" spans="2:17" s="2" customFormat="1" ht="15.75" hidden="1" x14ac:dyDescent="0.25">
      <c r="B289" s="22">
        <v>286</v>
      </c>
      <c r="C289" s="89" t="s">
        <v>28</v>
      </c>
      <c r="D289" s="89" t="s">
        <v>26</v>
      </c>
      <c r="E289" s="89" t="s">
        <v>88</v>
      </c>
      <c r="F289" s="10">
        <v>43767</v>
      </c>
      <c r="G289" s="89" t="s">
        <v>422</v>
      </c>
      <c r="H289" s="22" t="s">
        <v>60</v>
      </c>
      <c r="I289" s="90">
        <v>31517.96</v>
      </c>
      <c r="J289" s="90">
        <v>17087.599999999999</v>
      </c>
      <c r="K289" s="91">
        <f>(I289-J289)/I289</f>
        <v>0.45784562198822515</v>
      </c>
      <c r="L289" s="90">
        <f>2377.15+O289</f>
        <v>2577.15</v>
      </c>
      <c r="M289" s="91">
        <f>L289/I289</f>
        <v>8.1767665166146544E-2</v>
      </c>
      <c r="N289" s="11">
        <v>808.26</v>
      </c>
      <c r="O289" s="92">
        <v>200</v>
      </c>
      <c r="P289" s="12"/>
      <c r="Q289" s="8"/>
    </row>
    <row r="290" spans="2:17" s="2" customFormat="1" ht="15.75" hidden="1" x14ac:dyDescent="0.25">
      <c r="B290" s="22">
        <v>287</v>
      </c>
      <c r="C290" s="89" t="s">
        <v>28</v>
      </c>
      <c r="D290" s="89" t="s">
        <v>52</v>
      </c>
      <c r="E290" s="89" t="s">
        <v>406</v>
      </c>
      <c r="F290" s="10">
        <v>43785</v>
      </c>
      <c r="G290" s="89" t="s">
        <v>107</v>
      </c>
      <c r="H290" s="22" t="s">
        <v>16</v>
      </c>
      <c r="I290" s="90">
        <v>6996.52</v>
      </c>
      <c r="J290" s="90">
        <v>2934.19</v>
      </c>
      <c r="K290" s="91">
        <f t="shared" si="4"/>
        <v>0.58062150897874942</v>
      </c>
      <c r="L290" s="90">
        <v>867.1</v>
      </c>
      <c r="M290" s="91">
        <f t="shared" si="5"/>
        <v>0.12393304099752447</v>
      </c>
      <c r="N290" s="11">
        <v>488.62</v>
      </c>
      <c r="O290" s="92">
        <v>0</v>
      </c>
      <c r="P290" s="12"/>
      <c r="Q290" s="8"/>
    </row>
    <row r="291" spans="2:17" s="2" customFormat="1" ht="15.75" hidden="1" x14ac:dyDescent="0.25">
      <c r="B291" s="22">
        <v>288</v>
      </c>
      <c r="C291" s="89" t="s">
        <v>34</v>
      </c>
      <c r="D291" s="89" t="s">
        <v>31</v>
      </c>
      <c r="E291" s="89" t="s">
        <v>449</v>
      </c>
      <c r="F291" s="10">
        <v>43830</v>
      </c>
      <c r="G291" s="89" t="s">
        <v>423</v>
      </c>
      <c r="H291" s="22" t="s">
        <v>20</v>
      </c>
      <c r="I291" s="90">
        <v>23494.54</v>
      </c>
      <c r="J291" s="90">
        <v>8151.59</v>
      </c>
      <c r="K291" s="91">
        <f t="shared" si="4"/>
        <v>0.65304321770079343</v>
      </c>
      <c r="L291" s="90">
        <v>3373.91</v>
      </c>
      <c r="M291" s="91">
        <f t="shared" si="5"/>
        <v>0.14360400331311018</v>
      </c>
      <c r="N291" s="11">
        <v>2622.39</v>
      </c>
      <c r="O291" s="92">
        <v>0</v>
      </c>
      <c r="P291" s="12"/>
      <c r="Q291" s="8"/>
    </row>
    <row r="292" spans="2:17" s="2" customFormat="1" ht="15.75" hidden="1" x14ac:dyDescent="0.25">
      <c r="B292" s="22">
        <v>289</v>
      </c>
      <c r="C292" s="89" t="s">
        <v>28</v>
      </c>
      <c r="D292" s="89" t="s">
        <v>26</v>
      </c>
      <c r="E292" s="89" t="s">
        <v>88</v>
      </c>
      <c r="F292" s="10">
        <v>43719</v>
      </c>
      <c r="G292" s="89" t="s">
        <v>96</v>
      </c>
      <c r="H292" s="22" t="s">
        <v>62</v>
      </c>
      <c r="I292" s="90">
        <v>49223.64</v>
      </c>
      <c r="J292" s="90">
        <v>22009.29</v>
      </c>
      <c r="K292" s="91">
        <f t="shared" si="4"/>
        <v>0.55287154708591235</v>
      </c>
      <c r="L292" s="90">
        <f>4191.63+O292</f>
        <v>4591.63</v>
      </c>
      <c r="M292" s="91">
        <f t="shared" si="5"/>
        <v>9.3280992628745049E-2</v>
      </c>
      <c r="N292" s="11">
        <v>1229.54</v>
      </c>
      <c r="O292" s="92">
        <v>400</v>
      </c>
      <c r="P292" s="12"/>
      <c r="Q292" s="8"/>
    </row>
    <row r="293" spans="2:17" s="2" customFormat="1" ht="15.75" hidden="1" x14ac:dyDescent="0.25">
      <c r="B293" s="22">
        <v>290</v>
      </c>
      <c r="C293" s="89" t="s">
        <v>111</v>
      </c>
      <c r="D293" s="89" t="s">
        <v>52</v>
      </c>
      <c r="E293" s="89" t="s">
        <v>444</v>
      </c>
      <c r="F293" s="10">
        <v>43752</v>
      </c>
      <c r="G293" s="89" t="s">
        <v>115</v>
      </c>
      <c r="H293" s="22" t="s">
        <v>16</v>
      </c>
      <c r="I293" s="90">
        <v>12567.39</v>
      </c>
      <c r="J293" s="90">
        <v>5083.83</v>
      </c>
      <c r="K293" s="91">
        <f t="shared" si="4"/>
        <v>0.59547447799423747</v>
      </c>
      <c r="L293" s="90">
        <v>1538.18</v>
      </c>
      <c r="M293" s="91">
        <f t="shared" si="5"/>
        <v>0.12239454652079709</v>
      </c>
      <c r="N293" s="11">
        <v>873.59</v>
      </c>
      <c r="O293" s="92">
        <v>0</v>
      </c>
      <c r="P293" s="12"/>
      <c r="Q293" s="8"/>
    </row>
    <row r="294" spans="2:17" s="2" customFormat="1" ht="15.75" hidden="1" x14ac:dyDescent="0.25">
      <c r="B294" s="22">
        <v>291</v>
      </c>
      <c r="C294" s="89" t="s">
        <v>38</v>
      </c>
      <c r="D294" s="89" t="s">
        <v>52</v>
      </c>
      <c r="E294" s="89" t="s">
        <v>445</v>
      </c>
      <c r="F294" s="10">
        <v>43736</v>
      </c>
      <c r="G294" s="89" t="s">
        <v>424</v>
      </c>
      <c r="H294" s="22" t="s">
        <v>443</v>
      </c>
      <c r="I294" s="90">
        <v>23350.78</v>
      </c>
      <c r="J294" s="90">
        <v>15368.01</v>
      </c>
      <c r="K294" s="91">
        <f t="shared" si="4"/>
        <v>0.34186309836330947</v>
      </c>
      <c r="L294" s="90">
        <v>1446.12</v>
      </c>
      <c r="M294" s="91">
        <f t="shared" si="5"/>
        <v>6.193026528450013E-2</v>
      </c>
      <c r="N294" s="11">
        <v>-2135.8000000000002</v>
      </c>
      <c r="O294" s="92">
        <v>162.06</v>
      </c>
      <c r="P294" s="12"/>
      <c r="Q294" s="8"/>
    </row>
    <row r="295" spans="2:17" s="2" customFormat="1" ht="15.75" hidden="1" x14ac:dyDescent="0.25">
      <c r="B295" s="22">
        <v>292</v>
      </c>
      <c r="C295" s="89" t="s">
        <v>38</v>
      </c>
      <c r="D295" s="89" t="s">
        <v>33</v>
      </c>
      <c r="E295" s="89" t="s">
        <v>445</v>
      </c>
      <c r="F295" s="10">
        <v>43662</v>
      </c>
      <c r="G295" s="89" t="s">
        <v>425</v>
      </c>
      <c r="H295" s="22" t="s">
        <v>16</v>
      </c>
      <c r="I295" s="90">
        <v>5533.14</v>
      </c>
      <c r="J295" s="90">
        <v>4332.66</v>
      </c>
      <c r="K295" s="91">
        <f>(I295-J295)/I295</f>
        <v>0.21696179746039326</v>
      </c>
      <c r="L295" s="90">
        <v>472.45</v>
      </c>
      <c r="M295" s="91">
        <f>L295/I295</f>
        <v>8.5385513469747737E-2</v>
      </c>
      <c r="N295" s="11">
        <v>-1013.96</v>
      </c>
      <c r="O295" s="92">
        <v>0</v>
      </c>
      <c r="P295" s="12"/>
      <c r="Q295" s="8"/>
    </row>
    <row r="296" spans="2:17" s="2" customFormat="1" ht="15.75" hidden="1" x14ac:dyDescent="0.25">
      <c r="B296" s="22">
        <v>293</v>
      </c>
      <c r="C296" s="89" t="s">
        <v>28</v>
      </c>
      <c r="D296" s="89" t="s">
        <v>33</v>
      </c>
      <c r="E296" s="89" t="s">
        <v>88</v>
      </c>
      <c r="F296" s="10">
        <v>43782</v>
      </c>
      <c r="G296" s="89" t="s">
        <v>198</v>
      </c>
      <c r="H296" s="22" t="s">
        <v>24</v>
      </c>
      <c r="I296" s="90">
        <v>8486.68</v>
      </c>
      <c r="J296" s="90">
        <v>5567.17</v>
      </c>
      <c r="K296" s="91">
        <f>(I296-J296)/I296</f>
        <v>0.34401084994367648</v>
      </c>
      <c r="L296" s="90">
        <v>594.47</v>
      </c>
      <c r="M296" s="91">
        <f>L296/I296</f>
        <v>7.0047415479315825E-2</v>
      </c>
      <c r="N296" s="11">
        <v>-1705.32</v>
      </c>
      <c r="O296" s="92">
        <v>506.33</v>
      </c>
      <c r="P296" s="12"/>
      <c r="Q296" s="8"/>
    </row>
    <row r="297" spans="2:17" s="2" customFormat="1" ht="15.75" hidden="1" x14ac:dyDescent="0.25">
      <c r="B297" s="22">
        <v>294</v>
      </c>
      <c r="C297" s="89" t="s">
        <v>28</v>
      </c>
      <c r="D297" s="89" t="s">
        <v>39</v>
      </c>
      <c r="E297" s="89" t="s">
        <v>406</v>
      </c>
      <c r="F297" s="10">
        <v>43767</v>
      </c>
      <c r="G297" s="89" t="s">
        <v>426</v>
      </c>
      <c r="H297" s="22" t="s">
        <v>18</v>
      </c>
      <c r="I297" s="90">
        <v>24658.17</v>
      </c>
      <c r="J297" s="90">
        <v>14812.98</v>
      </c>
      <c r="K297" s="91">
        <f>(I297-J297)/I297</f>
        <v>0.39926685556957386</v>
      </c>
      <c r="L297" s="90">
        <v>1936.18</v>
      </c>
      <c r="M297" s="91">
        <f>L297/I297</f>
        <v>7.8520831026795593E-2</v>
      </c>
      <c r="N297" s="11">
        <v>-188.33</v>
      </c>
      <c r="O297" s="92">
        <v>0</v>
      </c>
      <c r="P297" s="12"/>
      <c r="Q297" s="8"/>
    </row>
    <row r="298" spans="2:17" s="2" customFormat="1" ht="15.75" hidden="1" x14ac:dyDescent="0.25">
      <c r="B298" s="22">
        <v>295</v>
      </c>
      <c r="C298" s="89" t="s">
        <v>28</v>
      </c>
      <c r="D298" s="89" t="s">
        <v>26</v>
      </c>
      <c r="E298" s="89" t="s">
        <v>88</v>
      </c>
      <c r="F298" s="10">
        <v>43768</v>
      </c>
      <c r="G298" s="89" t="s">
        <v>427</v>
      </c>
      <c r="H298" s="22" t="s">
        <v>60</v>
      </c>
      <c r="I298" s="90">
        <v>28969</v>
      </c>
      <c r="J298" s="90">
        <v>13102.51</v>
      </c>
      <c r="K298" s="91">
        <f t="shared" ref="K298:K309" si="6">(I298-J298)/I298</f>
        <v>0.54770582346646413</v>
      </c>
      <c r="L298" s="90">
        <v>3239.42</v>
      </c>
      <c r="M298" s="91">
        <f t="shared" ref="M298:M304" si="7">L298/I298</f>
        <v>0.11182367358210502</v>
      </c>
      <c r="N298" s="11">
        <v>1906.3</v>
      </c>
      <c r="O298" s="92">
        <v>0</v>
      </c>
      <c r="P298" s="12"/>
      <c r="Q298" s="8"/>
    </row>
    <row r="299" spans="2:17" s="2" customFormat="1" ht="15.75" hidden="1" x14ac:dyDescent="0.25">
      <c r="B299" s="22">
        <v>296</v>
      </c>
      <c r="C299" s="89" t="s">
        <v>28</v>
      </c>
      <c r="D299" s="89" t="s">
        <v>26</v>
      </c>
      <c r="E299" s="89" t="s">
        <v>449</v>
      </c>
      <c r="F299" s="10">
        <v>43805</v>
      </c>
      <c r="G299" s="89" t="s">
        <v>428</v>
      </c>
      <c r="H299" s="22" t="s">
        <v>13</v>
      </c>
      <c r="I299" s="90">
        <v>2479.7199999999998</v>
      </c>
      <c r="J299" s="90">
        <v>1261.8800000000001</v>
      </c>
      <c r="K299" s="91">
        <f t="shared" si="6"/>
        <v>0.4911199651573564</v>
      </c>
      <c r="L299" s="90">
        <f>218.34+68.84</f>
        <v>287.18</v>
      </c>
      <c r="M299" s="91">
        <f t="shared" si="7"/>
        <v>0.11581146258448535</v>
      </c>
      <c r="N299" s="11">
        <v>134.02000000000001</v>
      </c>
      <c r="O299" s="92">
        <v>50</v>
      </c>
      <c r="P299" s="12"/>
      <c r="Q299" s="8"/>
    </row>
    <row r="300" spans="2:17" s="2" customFormat="1" ht="15.75" hidden="1" x14ac:dyDescent="0.25">
      <c r="B300" s="22">
        <v>297</v>
      </c>
      <c r="C300" s="89" t="s">
        <v>28</v>
      </c>
      <c r="D300" s="89" t="s">
        <v>31</v>
      </c>
      <c r="E300" s="89" t="s">
        <v>406</v>
      </c>
      <c r="F300" s="10">
        <v>43818</v>
      </c>
      <c r="G300" s="89" t="s">
        <v>116</v>
      </c>
      <c r="H300" s="22" t="s">
        <v>16</v>
      </c>
      <c r="I300" s="90">
        <v>6209.04</v>
      </c>
      <c r="J300" s="90">
        <v>3131.66</v>
      </c>
      <c r="K300" s="91">
        <f t="shared" si="6"/>
        <v>0.49562895391236006</v>
      </c>
      <c r="L300" s="90">
        <v>505.69</v>
      </c>
      <c r="M300" s="91">
        <f t="shared" si="7"/>
        <v>8.1444152397149958E-2</v>
      </c>
      <c r="N300" s="11">
        <v>-244.3</v>
      </c>
      <c r="O300" s="92">
        <v>0</v>
      </c>
      <c r="P300" s="12"/>
      <c r="Q300" s="8"/>
    </row>
    <row r="301" spans="2:17" s="2" customFormat="1" ht="15.75" hidden="1" x14ac:dyDescent="0.25">
      <c r="B301" s="22">
        <v>298</v>
      </c>
      <c r="C301" s="89" t="s">
        <v>28</v>
      </c>
      <c r="D301" s="89" t="s">
        <v>33</v>
      </c>
      <c r="E301" s="89" t="s">
        <v>446</v>
      </c>
      <c r="F301" s="10">
        <v>43683</v>
      </c>
      <c r="G301" s="89" t="s">
        <v>429</v>
      </c>
      <c r="H301" s="22" t="s">
        <v>443</v>
      </c>
      <c r="I301" s="90">
        <v>25388.639999999999</v>
      </c>
      <c r="J301" s="90">
        <v>10092.790000000001</v>
      </c>
      <c r="K301" s="91">
        <f t="shared" si="6"/>
        <v>0.60246826927318675</v>
      </c>
      <c r="L301" s="90">
        <f>2537.77+O301</f>
        <v>2937.77</v>
      </c>
      <c r="M301" s="91">
        <f t="shared" si="7"/>
        <v>0.11571198772364333</v>
      </c>
      <c r="N301" s="11">
        <v>1898.11</v>
      </c>
      <c r="O301" s="92">
        <v>400</v>
      </c>
      <c r="P301" s="12"/>
      <c r="Q301" s="8"/>
    </row>
    <row r="302" spans="2:17" s="2" customFormat="1" ht="15.75" hidden="1" x14ac:dyDescent="0.25">
      <c r="B302" s="22">
        <v>299</v>
      </c>
      <c r="C302" s="89" t="s">
        <v>258</v>
      </c>
      <c r="D302" s="89" t="s">
        <v>90</v>
      </c>
      <c r="E302" s="89" t="s">
        <v>444</v>
      </c>
      <c r="F302" s="10">
        <v>43722</v>
      </c>
      <c r="G302" s="89" t="s">
        <v>109</v>
      </c>
      <c r="H302" s="22" t="s">
        <v>20</v>
      </c>
      <c r="I302" s="90">
        <v>12571.3</v>
      </c>
      <c r="J302" s="90">
        <v>7344.39</v>
      </c>
      <c r="K302" s="91">
        <f t="shared" si="6"/>
        <v>0.41578118412574666</v>
      </c>
      <c r="L302" s="90">
        <v>605.95000000000005</v>
      </c>
      <c r="M302" s="91">
        <f t="shared" si="7"/>
        <v>4.8201061147216284E-2</v>
      </c>
      <c r="N302" s="11">
        <v>-1218</v>
      </c>
      <c r="O302" s="92">
        <v>0</v>
      </c>
      <c r="P302" s="12" t="s">
        <v>430</v>
      </c>
      <c r="Q302" s="8"/>
    </row>
    <row r="303" spans="2:17" s="2" customFormat="1" ht="15.75" hidden="1" x14ac:dyDescent="0.25">
      <c r="B303" s="22">
        <v>300</v>
      </c>
      <c r="C303" s="89" t="s">
        <v>28</v>
      </c>
      <c r="D303" s="89" t="s">
        <v>31</v>
      </c>
      <c r="E303" s="89" t="s">
        <v>444</v>
      </c>
      <c r="F303" s="10">
        <v>43693</v>
      </c>
      <c r="G303" s="89" t="s">
        <v>431</v>
      </c>
      <c r="H303" s="22" t="s">
        <v>104</v>
      </c>
      <c r="I303" s="90">
        <v>3048.9</v>
      </c>
      <c r="J303" s="90">
        <v>3434.76</v>
      </c>
      <c r="K303" s="91">
        <f t="shared" si="6"/>
        <v>-0.12655711896093677</v>
      </c>
      <c r="L303" s="90">
        <v>210.2</v>
      </c>
      <c r="M303" s="91">
        <f t="shared" si="7"/>
        <v>6.8942897438420414E-2</v>
      </c>
      <c r="N303" s="11">
        <v>-3461.1</v>
      </c>
      <c r="O303" s="92">
        <v>1314.25</v>
      </c>
      <c r="P303" s="12"/>
      <c r="Q303" s="8"/>
    </row>
    <row r="304" spans="2:17" s="2" customFormat="1" ht="15.75" hidden="1" x14ac:dyDescent="0.25">
      <c r="B304" s="22">
        <v>301</v>
      </c>
      <c r="C304" s="89" t="s">
        <v>28</v>
      </c>
      <c r="D304" s="89" t="s">
        <v>39</v>
      </c>
      <c r="E304" s="89" t="s">
        <v>305</v>
      </c>
      <c r="F304" s="10">
        <v>44085</v>
      </c>
      <c r="G304" s="89" t="s">
        <v>322</v>
      </c>
      <c r="H304" s="22" t="s">
        <v>18</v>
      </c>
      <c r="I304" s="90">
        <v>31039.63</v>
      </c>
      <c r="J304" s="90">
        <v>16955.47</v>
      </c>
      <c r="K304" s="91">
        <f t="shared" si="6"/>
        <v>0.45374767676032218</v>
      </c>
      <c r="L304" s="90">
        <f>1771.47+226.77</f>
        <v>1998.24</v>
      </c>
      <c r="M304" s="91">
        <f t="shared" si="7"/>
        <v>6.4377056040938629E-2</v>
      </c>
      <c r="N304" s="11">
        <v>-1977.97</v>
      </c>
      <c r="O304" s="92">
        <v>300</v>
      </c>
      <c r="P304" s="12"/>
      <c r="Q304" s="8"/>
    </row>
    <row r="305" spans="2:17" s="2" customFormat="1" ht="15.75" hidden="1" x14ac:dyDescent="0.25">
      <c r="B305" s="22">
        <v>302</v>
      </c>
      <c r="C305" s="89" t="s">
        <v>28</v>
      </c>
      <c r="D305" s="89" t="s">
        <v>52</v>
      </c>
      <c r="E305" s="89" t="s">
        <v>444</v>
      </c>
      <c r="F305" s="10">
        <v>43639</v>
      </c>
      <c r="G305" s="89" t="s">
        <v>432</v>
      </c>
      <c r="H305" s="22" t="s">
        <v>16</v>
      </c>
      <c r="I305" s="90">
        <v>7077.64</v>
      </c>
      <c r="J305" s="90">
        <v>6867.55</v>
      </c>
      <c r="K305" s="91">
        <f t="shared" si="6"/>
        <v>2.9683623354677568E-2</v>
      </c>
      <c r="L305" s="90">
        <v>267.58</v>
      </c>
      <c r="M305" s="91">
        <f>L305/I305</f>
        <v>3.7806387439881087E-2</v>
      </c>
      <c r="N305" s="11">
        <v>-1693.36</v>
      </c>
      <c r="O305" s="92">
        <v>254.66</v>
      </c>
      <c r="P305" s="12"/>
      <c r="Q305" s="8"/>
    </row>
    <row r="306" spans="2:17" s="2" customFormat="1" ht="15.75" hidden="1" x14ac:dyDescent="0.25">
      <c r="B306" s="22">
        <v>303</v>
      </c>
      <c r="C306" s="89" t="s">
        <v>28</v>
      </c>
      <c r="D306" s="89" t="s">
        <v>146</v>
      </c>
      <c r="E306" s="89" t="s">
        <v>444</v>
      </c>
      <c r="F306" s="10">
        <v>43554</v>
      </c>
      <c r="G306" s="89" t="s">
        <v>433</v>
      </c>
      <c r="H306" s="22" t="s">
        <v>16</v>
      </c>
      <c r="I306" s="90">
        <v>6859.8</v>
      </c>
      <c r="J306" s="90">
        <v>4020.86</v>
      </c>
      <c r="K306" s="91">
        <f t="shared" si="6"/>
        <v>0.41385171579346336</v>
      </c>
      <c r="L306" s="90">
        <v>0</v>
      </c>
      <c r="M306" s="91">
        <f t="shared" ref="M306:M309" si="8">L306/I306</f>
        <v>0</v>
      </c>
      <c r="N306" s="11">
        <v>0</v>
      </c>
      <c r="O306" s="92">
        <v>0</v>
      </c>
      <c r="P306" s="12"/>
      <c r="Q306" s="8"/>
    </row>
    <row r="307" spans="2:17" s="2" customFormat="1" ht="15.75" hidden="1" x14ac:dyDescent="0.25">
      <c r="B307" s="22">
        <v>304</v>
      </c>
      <c r="C307" s="89" t="s">
        <v>28</v>
      </c>
      <c r="D307" s="89" t="s">
        <v>52</v>
      </c>
      <c r="E307" s="89" t="s">
        <v>327</v>
      </c>
      <c r="F307" s="10">
        <v>43731</v>
      </c>
      <c r="G307" s="89" t="s">
        <v>434</v>
      </c>
      <c r="H307" s="22" t="s">
        <v>16</v>
      </c>
      <c r="I307" s="90">
        <v>9660.5</v>
      </c>
      <c r="J307" s="90">
        <v>5229.05</v>
      </c>
      <c r="K307" s="91">
        <f t="shared" si="6"/>
        <v>0.45871849283163396</v>
      </c>
      <c r="L307" s="90">
        <v>855.51</v>
      </c>
      <c r="M307" s="91">
        <f t="shared" si="8"/>
        <v>8.8557528078256814E-2</v>
      </c>
      <c r="N307" s="11">
        <v>-215.1</v>
      </c>
      <c r="O307" s="92">
        <v>0</v>
      </c>
      <c r="P307" s="12"/>
      <c r="Q307" s="8"/>
    </row>
    <row r="308" spans="2:17" s="2" customFormat="1" ht="15.75" hidden="1" x14ac:dyDescent="0.25">
      <c r="B308" s="22">
        <v>305</v>
      </c>
      <c r="C308" s="89" t="s">
        <v>28</v>
      </c>
      <c r="D308" s="89" t="s">
        <v>39</v>
      </c>
      <c r="E308" s="89" t="s">
        <v>406</v>
      </c>
      <c r="F308" s="10">
        <v>43768</v>
      </c>
      <c r="G308" s="89" t="s">
        <v>435</v>
      </c>
      <c r="H308" s="22" t="s">
        <v>18</v>
      </c>
      <c r="I308" s="90">
        <v>23925.84</v>
      </c>
      <c r="J308" s="90">
        <v>12933.25</v>
      </c>
      <c r="K308" s="91">
        <f t="shared" si="6"/>
        <v>0.45944426611563066</v>
      </c>
      <c r="L308" s="90">
        <v>2001.91</v>
      </c>
      <c r="M308" s="91">
        <f t="shared" si="8"/>
        <v>8.3671461482648049E-2</v>
      </c>
      <c r="N308" s="11">
        <v>-490.86</v>
      </c>
      <c r="O308" s="92">
        <v>336.13</v>
      </c>
      <c r="P308" s="12"/>
      <c r="Q308" s="8"/>
    </row>
    <row r="309" spans="2:17" s="2" customFormat="1" ht="15.75" hidden="1" x14ac:dyDescent="0.25">
      <c r="B309" s="22">
        <v>306</v>
      </c>
      <c r="C309" s="89" t="s">
        <v>28</v>
      </c>
      <c r="D309" s="89" t="s">
        <v>52</v>
      </c>
      <c r="E309" s="89" t="s">
        <v>15</v>
      </c>
      <c r="F309" s="10">
        <v>43788</v>
      </c>
      <c r="G309" s="89" t="s">
        <v>436</v>
      </c>
      <c r="H309" s="22" t="s">
        <v>13</v>
      </c>
      <c r="I309" s="90">
        <v>18192.36</v>
      </c>
      <c r="J309" s="90">
        <v>7186.64</v>
      </c>
      <c r="K309" s="91">
        <f t="shared" si="6"/>
        <v>0.60496384196442909</v>
      </c>
      <c r="L309" s="90">
        <v>2962.92</v>
      </c>
      <c r="M309" s="91">
        <f t="shared" si="8"/>
        <v>0.16286617019452121</v>
      </c>
      <c r="N309" s="11">
        <v>2902.96</v>
      </c>
      <c r="O309" s="92">
        <v>0</v>
      </c>
      <c r="P309" s="12"/>
      <c r="Q309" s="8"/>
    </row>
    <row r="310" spans="2:17" s="2" customFormat="1" ht="15.75" x14ac:dyDescent="0.25">
      <c r="C310" s="3"/>
      <c r="D310" s="3"/>
      <c r="E310" s="3"/>
      <c r="F310" s="3"/>
      <c r="G310" s="21"/>
      <c r="H310" s="3"/>
      <c r="I310" s="18"/>
      <c r="J310" s="18"/>
      <c r="K310" s="16"/>
      <c r="L310" s="18"/>
      <c r="M310" s="16"/>
      <c r="N310" s="19"/>
      <c r="O310" s="19"/>
      <c r="P310" s="19"/>
      <c r="Q310" s="8"/>
    </row>
    <row r="311" spans="2:17" s="2" customFormat="1" ht="15.75" x14ac:dyDescent="0.25">
      <c r="C311" s="3"/>
      <c r="D311" s="3"/>
      <c r="E311" s="3"/>
      <c r="F311" s="3"/>
      <c r="G311" s="21"/>
      <c r="H311" s="3"/>
      <c r="I311" s="18"/>
      <c r="J311" s="18"/>
      <c r="K311" s="16"/>
      <c r="L311" s="18"/>
      <c r="M311" s="16"/>
      <c r="N311" s="19"/>
      <c r="O311" s="19"/>
      <c r="P311" s="19"/>
      <c r="Q311" s="8"/>
    </row>
    <row r="312" spans="2:17" s="2" customFormat="1" ht="15.75" x14ac:dyDescent="0.25">
      <c r="C312" s="3"/>
      <c r="D312" s="3"/>
      <c r="E312" s="3"/>
      <c r="F312" s="3"/>
      <c r="G312" s="21"/>
      <c r="H312" s="3"/>
      <c r="I312" s="18"/>
      <c r="J312" s="18"/>
      <c r="K312" s="16"/>
      <c r="L312" s="18"/>
      <c r="M312" s="16"/>
      <c r="N312" s="19"/>
      <c r="O312" s="19"/>
      <c r="P312" s="19"/>
      <c r="Q312" s="8"/>
    </row>
    <row r="313" spans="2:17" s="2" customFormat="1" ht="15.75" x14ac:dyDescent="0.25">
      <c r="C313" s="3"/>
      <c r="D313" s="3"/>
      <c r="E313" s="3"/>
      <c r="F313" s="3"/>
      <c r="G313" s="21"/>
      <c r="H313" s="3"/>
      <c r="I313" s="18"/>
      <c r="J313" s="18"/>
      <c r="K313" s="16"/>
      <c r="L313" s="18"/>
      <c r="M313" s="16"/>
      <c r="N313" s="19"/>
      <c r="O313" s="19"/>
      <c r="P313" s="19"/>
      <c r="Q313" s="8"/>
    </row>
    <row r="314" spans="2:17" s="2" customFormat="1" ht="15.75" x14ac:dyDescent="0.25">
      <c r="C314" s="3"/>
      <c r="D314" s="3"/>
      <c r="E314" s="3"/>
      <c r="F314" s="3"/>
      <c r="G314" s="21"/>
      <c r="H314" s="3"/>
      <c r="I314" s="18"/>
      <c r="J314" s="18"/>
      <c r="K314" s="16"/>
      <c r="L314" s="18"/>
      <c r="M314" s="16"/>
      <c r="N314" s="19"/>
      <c r="O314" s="19"/>
      <c r="P314" s="19"/>
      <c r="Q314" s="8"/>
    </row>
    <row r="315" spans="2:17" s="2" customFormat="1" ht="15.75" x14ac:dyDescent="0.25">
      <c r="C315" s="3"/>
      <c r="D315" s="3"/>
      <c r="E315" s="3"/>
      <c r="F315" s="3"/>
      <c r="G315" s="21"/>
      <c r="H315" s="3"/>
      <c r="I315" s="18"/>
      <c r="J315" s="18"/>
      <c r="K315" s="16"/>
      <c r="L315" s="18"/>
      <c r="M315" s="16"/>
      <c r="N315" s="19"/>
      <c r="O315" s="19"/>
      <c r="P315" s="19"/>
      <c r="Q315" s="8"/>
    </row>
    <row r="316" spans="2:17" s="2" customFormat="1" ht="15.75" x14ac:dyDescent="0.25">
      <c r="C316" s="3"/>
      <c r="D316" s="3"/>
      <c r="E316" s="3"/>
      <c r="F316" s="3"/>
      <c r="G316" s="21"/>
      <c r="H316" s="3"/>
      <c r="I316" s="18"/>
      <c r="J316" s="18"/>
      <c r="K316" s="16"/>
      <c r="L316" s="18"/>
      <c r="M316" s="16"/>
      <c r="N316" s="19"/>
      <c r="O316" s="19"/>
      <c r="P316" s="19"/>
      <c r="Q316" s="8"/>
    </row>
    <row r="317" spans="2:17" s="2" customFormat="1" ht="15.75" x14ac:dyDescent="0.25">
      <c r="C317" s="3"/>
      <c r="D317" s="3"/>
      <c r="E317" s="3"/>
      <c r="F317" s="3"/>
      <c r="G317" s="21"/>
      <c r="H317" s="3"/>
      <c r="I317" s="18"/>
      <c r="J317" s="18"/>
      <c r="K317" s="16"/>
      <c r="L317" s="18"/>
      <c r="M317" s="16"/>
      <c r="N317" s="19"/>
      <c r="O317" s="19"/>
      <c r="P317" s="19"/>
      <c r="Q317" s="8"/>
    </row>
    <row r="318" spans="2:17" s="2" customFormat="1" ht="15.75" x14ac:dyDescent="0.25">
      <c r="C318" s="3"/>
      <c r="D318" s="3"/>
      <c r="E318" s="3"/>
      <c r="F318" s="3"/>
      <c r="G318" s="21"/>
      <c r="H318" s="3"/>
      <c r="I318" s="18"/>
      <c r="J318" s="18"/>
      <c r="K318" s="16"/>
      <c r="L318" s="18"/>
      <c r="M318" s="16"/>
      <c r="N318" s="19"/>
      <c r="O318" s="19"/>
      <c r="P318" s="19"/>
      <c r="Q318" s="8"/>
    </row>
    <row r="319" spans="2:17" s="2" customFormat="1" ht="15.75" x14ac:dyDescent="0.25">
      <c r="C319" s="3"/>
      <c r="D319" s="3"/>
      <c r="E319" s="3"/>
      <c r="F319" s="3"/>
      <c r="G319" s="21"/>
      <c r="H319" s="3"/>
      <c r="I319" s="18"/>
      <c r="J319" s="18"/>
      <c r="K319" s="16"/>
      <c r="L319" s="18"/>
      <c r="M319" s="16"/>
      <c r="N319" s="19"/>
      <c r="O319" s="19"/>
      <c r="P319" s="19"/>
      <c r="Q319" s="8"/>
    </row>
    <row r="320" spans="2:17" s="2" customFormat="1" ht="15.75" x14ac:dyDescent="0.25">
      <c r="C320" s="3"/>
      <c r="D320" s="3"/>
      <c r="E320" s="3"/>
      <c r="F320" s="3"/>
      <c r="G320" s="21"/>
      <c r="H320" s="3"/>
      <c r="I320" s="18"/>
      <c r="J320" s="18"/>
      <c r="K320" s="16"/>
      <c r="L320" s="18"/>
      <c r="M320" s="16"/>
      <c r="N320" s="19"/>
      <c r="O320" s="19"/>
      <c r="P320" s="19"/>
      <c r="Q320" s="8"/>
    </row>
    <row r="321" spans="3:19" s="2" customFormat="1" ht="15.75" x14ac:dyDescent="0.25">
      <c r="C321" s="3"/>
      <c r="D321" s="3"/>
      <c r="E321" s="3"/>
      <c r="F321" s="3"/>
      <c r="G321" s="21"/>
      <c r="H321" s="3"/>
      <c r="I321" s="18"/>
      <c r="J321" s="18"/>
      <c r="K321" s="16"/>
      <c r="L321" s="18"/>
      <c r="M321" s="16"/>
      <c r="N321" s="19"/>
      <c r="O321" s="19"/>
      <c r="P321" s="19"/>
      <c r="Q321" s="8"/>
    </row>
    <row r="322" spans="3:19" s="2" customFormat="1" ht="15.75" x14ac:dyDescent="0.25">
      <c r="C322" s="3"/>
      <c r="D322" s="3"/>
      <c r="E322" s="3"/>
      <c r="F322" s="3"/>
      <c r="G322" s="21"/>
      <c r="H322" s="3"/>
      <c r="I322" s="18"/>
      <c r="J322" s="18"/>
      <c r="K322" s="16"/>
      <c r="L322" s="18"/>
      <c r="M322" s="16"/>
      <c r="N322" s="19"/>
      <c r="O322" s="19"/>
      <c r="P322" s="19"/>
      <c r="Q322" s="8"/>
    </row>
    <row r="323" spans="3:19" s="2" customFormat="1" ht="15.75" x14ac:dyDescent="0.25">
      <c r="C323" s="3"/>
      <c r="D323" s="3"/>
      <c r="E323" s="3"/>
      <c r="F323" s="3"/>
      <c r="G323" s="21"/>
      <c r="H323" s="3"/>
      <c r="I323" s="18"/>
      <c r="J323" s="18"/>
      <c r="K323" s="16"/>
      <c r="L323" s="18"/>
      <c r="M323" s="16"/>
      <c r="N323" s="19"/>
      <c r="O323" s="19"/>
      <c r="P323" s="19"/>
      <c r="Q323" s="8"/>
    </row>
    <row r="324" spans="3:19" s="2" customFormat="1" ht="15.75" x14ac:dyDescent="0.25">
      <c r="C324" s="3"/>
      <c r="D324" s="3"/>
      <c r="E324" s="3"/>
      <c r="F324" s="3"/>
      <c r="G324" s="21"/>
      <c r="H324" s="3"/>
      <c r="I324" s="18"/>
      <c r="J324" s="18"/>
      <c r="K324" s="16"/>
      <c r="L324" s="18"/>
      <c r="M324" s="16"/>
      <c r="N324" s="19"/>
      <c r="O324" s="19"/>
      <c r="P324" s="19"/>
      <c r="Q324" s="8"/>
    </row>
    <row r="325" spans="3:19" s="2" customFormat="1" ht="15.75" x14ac:dyDescent="0.25">
      <c r="C325" s="3"/>
      <c r="D325" s="3"/>
      <c r="E325" s="3"/>
      <c r="F325" s="3"/>
      <c r="G325" s="21"/>
      <c r="H325" s="3"/>
      <c r="I325" s="18"/>
      <c r="J325" s="18"/>
      <c r="K325" s="16"/>
      <c r="L325" s="18"/>
      <c r="M325" s="16"/>
      <c r="N325" s="19"/>
      <c r="O325" s="19"/>
      <c r="P325" s="19"/>
      <c r="Q325" s="8"/>
      <c r="S325" s="2" t="e">
        <f>(#REF!/2)-#REF!</f>
        <v>#REF!</v>
      </c>
    </row>
    <row r="326" spans="3:19" s="2" customFormat="1" ht="15.75" x14ac:dyDescent="0.25">
      <c r="C326" s="3"/>
      <c r="D326" s="3"/>
      <c r="E326" s="3"/>
      <c r="F326" s="3"/>
      <c r="G326" s="21"/>
      <c r="H326" s="3"/>
      <c r="I326" s="18"/>
      <c r="J326" s="18"/>
      <c r="K326" s="16"/>
      <c r="L326" s="18"/>
      <c r="M326" s="16"/>
      <c r="N326" s="19"/>
      <c r="O326" s="19"/>
      <c r="P326" s="19"/>
      <c r="Q326" s="8"/>
    </row>
    <row r="327" spans="3:19" s="2" customFormat="1" ht="15.75" x14ac:dyDescent="0.25">
      <c r="C327" s="3"/>
      <c r="D327" s="3"/>
      <c r="E327" s="3"/>
      <c r="F327" s="3"/>
      <c r="G327" s="21"/>
      <c r="H327" s="3"/>
      <c r="I327" s="18"/>
      <c r="J327" s="18"/>
      <c r="K327" s="16"/>
      <c r="L327" s="18"/>
      <c r="M327" s="16"/>
      <c r="N327" s="19"/>
      <c r="O327" s="19"/>
      <c r="P327" s="19"/>
      <c r="Q327" s="8"/>
    </row>
    <row r="328" spans="3:19" s="2" customFormat="1" ht="15.75" x14ac:dyDescent="0.25">
      <c r="C328" s="3"/>
      <c r="D328" s="3"/>
      <c r="E328" s="3"/>
      <c r="F328" s="3"/>
      <c r="G328" s="21"/>
      <c r="H328" s="3"/>
      <c r="I328" s="18"/>
      <c r="J328" s="18"/>
      <c r="K328" s="16"/>
      <c r="L328" s="18"/>
      <c r="M328" s="16"/>
      <c r="N328" s="19"/>
      <c r="O328" s="19"/>
      <c r="P328" s="19"/>
      <c r="Q328" s="8"/>
    </row>
    <row r="329" spans="3:19" s="2" customFormat="1" ht="15.75" x14ac:dyDescent="0.25">
      <c r="C329" s="3"/>
      <c r="D329" s="3"/>
      <c r="E329" s="3"/>
      <c r="F329" s="3"/>
      <c r="G329" s="21"/>
      <c r="H329" s="3"/>
      <c r="I329" s="18"/>
      <c r="J329" s="18"/>
      <c r="K329" s="16"/>
      <c r="L329" s="18"/>
      <c r="M329" s="16"/>
      <c r="N329" s="19"/>
      <c r="O329" s="19"/>
      <c r="P329" s="19"/>
      <c r="Q329" s="8"/>
    </row>
    <row r="330" spans="3:19" s="2" customFormat="1" ht="15.75" x14ac:dyDescent="0.25">
      <c r="C330" s="3"/>
      <c r="D330" s="3"/>
      <c r="E330" s="3"/>
      <c r="F330" s="3"/>
      <c r="G330" s="21"/>
      <c r="H330" s="3"/>
      <c r="I330" s="18"/>
      <c r="J330" s="18"/>
      <c r="K330" s="16"/>
      <c r="L330" s="18"/>
      <c r="M330" s="16"/>
      <c r="N330" s="19"/>
      <c r="O330" s="19"/>
      <c r="P330" s="19"/>
      <c r="Q330" s="8"/>
    </row>
    <row r="331" spans="3:19" s="2" customFormat="1" ht="15.75" x14ac:dyDescent="0.25">
      <c r="C331" s="3"/>
      <c r="D331" s="3"/>
      <c r="E331" s="3"/>
      <c r="F331" s="3"/>
      <c r="G331" s="21"/>
      <c r="H331" s="3"/>
      <c r="I331" s="18"/>
      <c r="J331" s="18"/>
      <c r="K331" s="16"/>
      <c r="L331" s="18"/>
      <c r="M331" s="16"/>
      <c r="N331" s="19"/>
      <c r="O331" s="19"/>
      <c r="P331" s="19"/>
      <c r="Q331" s="8"/>
    </row>
    <row r="332" spans="3:19" s="2" customFormat="1" ht="15.75" x14ac:dyDescent="0.25">
      <c r="C332" s="3"/>
      <c r="D332" s="3"/>
      <c r="E332" s="3"/>
      <c r="F332" s="3"/>
      <c r="G332" s="21"/>
      <c r="H332" s="3"/>
      <c r="I332" s="18"/>
      <c r="J332" s="18"/>
      <c r="K332" s="16"/>
      <c r="L332" s="18"/>
      <c r="M332" s="16"/>
      <c r="N332" s="19"/>
      <c r="O332" s="19"/>
      <c r="P332" s="19"/>
      <c r="Q332" s="8"/>
    </row>
    <row r="333" spans="3:19" s="2" customFormat="1" ht="15.75" x14ac:dyDescent="0.25">
      <c r="C333" s="3"/>
      <c r="D333" s="3"/>
      <c r="E333" s="3"/>
      <c r="F333" s="3"/>
      <c r="G333" s="21"/>
      <c r="H333" s="3"/>
      <c r="I333" s="18"/>
      <c r="J333" s="18"/>
      <c r="K333" s="16"/>
      <c r="L333" s="18"/>
      <c r="M333" s="16"/>
      <c r="N333" s="19"/>
      <c r="O333" s="19"/>
      <c r="P333" s="19"/>
      <c r="Q333" s="8"/>
    </row>
    <row r="334" spans="3:19" s="2" customFormat="1" ht="15.75" x14ac:dyDescent="0.25">
      <c r="C334" s="3"/>
      <c r="D334" s="3"/>
      <c r="E334" s="3"/>
      <c r="F334" s="3"/>
      <c r="G334" s="21"/>
      <c r="H334" s="3"/>
      <c r="I334" s="18"/>
      <c r="J334" s="18"/>
      <c r="K334" s="16"/>
      <c r="L334" s="18"/>
      <c r="M334" s="16"/>
      <c r="N334" s="19"/>
      <c r="O334" s="19"/>
      <c r="P334" s="19"/>
      <c r="Q334" s="8"/>
    </row>
    <row r="335" spans="3:19" s="2" customFormat="1" ht="15.75" x14ac:dyDescent="0.25">
      <c r="C335" s="3"/>
      <c r="D335" s="3"/>
      <c r="E335" s="3"/>
      <c r="F335" s="3"/>
      <c r="G335" s="21"/>
      <c r="H335" s="3"/>
      <c r="I335" s="18"/>
      <c r="J335" s="18"/>
      <c r="K335" s="16"/>
      <c r="L335" s="18"/>
      <c r="M335" s="16"/>
      <c r="N335" s="19"/>
      <c r="O335" s="19"/>
      <c r="P335" s="19"/>
      <c r="Q335" s="8"/>
    </row>
    <row r="336" spans="3:19" s="2" customFormat="1" ht="15.75" x14ac:dyDescent="0.25">
      <c r="C336" s="3"/>
      <c r="D336" s="3"/>
      <c r="E336" s="3"/>
      <c r="F336" s="3"/>
      <c r="G336" s="21"/>
      <c r="H336" s="3"/>
      <c r="I336" s="18"/>
      <c r="J336" s="18"/>
      <c r="K336" s="16"/>
      <c r="L336" s="18"/>
      <c r="M336" s="16"/>
      <c r="N336" s="19"/>
      <c r="O336" s="19"/>
      <c r="P336" s="19"/>
      <c r="Q336" s="8"/>
    </row>
    <row r="337" spans="3:17" s="2" customFormat="1" ht="15.75" x14ac:dyDescent="0.25">
      <c r="C337" s="3"/>
      <c r="D337" s="3"/>
      <c r="E337" s="3"/>
      <c r="F337" s="3"/>
      <c r="G337" s="21"/>
      <c r="H337" s="3"/>
      <c r="I337" s="18"/>
      <c r="J337" s="18"/>
      <c r="K337" s="16"/>
      <c r="L337" s="18"/>
      <c r="M337" s="16"/>
      <c r="N337" s="19"/>
      <c r="O337" s="19"/>
      <c r="P337" s="19"/>
      <c r="Q337" s="8"/>
    </row>
    <row r="338" spans="3:17" s="2" customFormat="1" ht="15.75" x14ac:dyDescent="0.25">
      <c r="C338" s="3"/>
      <c r="D338" s="3"/>
      <c r="E338" s="3"/>
      <c r="F338" s="3"/>
      <c r="G338" s="21"/>
      <c r="H338" s="3"/>
      <c r="I338" s="18"/>
      <c r="J338" s="18"/>
      <c r="K338" s="16"/>
      <c r="L338" s="18"/>
      <c r="M338" s="16"/>
      <c r="N338" s="19"/>
      <c r="O338" s="19"/>
      <c r="P338" s="19"/>
      <c r="Q338" s="8"/>
    </row>
    <row r="339" spans="3:17" s="2" customFormat="1" ht="15.75" x14ac:dyDescent="0.25">
      <c r="C339" s="3"/>
      <c r="D339" s="3"/>
      <c r="E339" s="3"/>
      <c r="F339" s="3"/>
      <c r="G339" s="21"/>
      <c r="H339" s="3"/>
      <c r="I339" s="18"/>
      <c r="J339" s="18"/>
      <c r="K339" s="16"/>
      <c r="L339" s="18"/>
      <c r="M339" s="16"/>
      <c r="N339" s="19"/>
      <c r="O339" s="19"/>
      <c r="P339" s="19"/>
      <c r="Q339" s="8"/>
    </row>
    <row r="340" spans="3:17" s="2" customFormat="1" ht="15.75" x14ac:dyDescent="0.25">
      <c r="C340" s="3"/>
      <c r="D340" s="3"/>
      <c r="E340" s="3"/>
      <c r="F340" s="3"/>
      <c r="G340" s="21"/>
      <c r="H340" s="3"/>
      <c r="I340" s="18"/>
      <c r="J340" s="18"/>
      <c r="K340" s="16"/>
      <c r="L340" s="18"/>
      <c r="M340" s="16"/>
      <c r="N340" s="19"/>
      <c r="O340" s="19"/>
      <c r="P340" s="19"/>
      <c r="Q340" s="8"/>
    </row>
    <row r="341" spans="3:17" s="2" customFormat="1" ht="15.75" x14ac:dyDescent="0.25">
      <c r="C341" s="3"/>
      <c r="D341" s="3"/>
      <c r="E341" s="3"/>
      <c r="F341" s="3"/>
      <c r="G341" s="21"/>
      <c r="H341" s="3"/>
      <c r="I341" s="18"/>
      <c r="J341" s="18"/>
      <c r="K341" s="16"/>
      <c r="L341" s="18"/>
      <c r="M341" s="16"/>
      <c r="N341" s="19"/>
      <c r="O341" s="19"/>
      <c r="P341" s="19"/>
      <c r="Q341" s="8"/>
    </row>
    <row r="342" spans="3:17" s="2" customFormat="1" ht="15.75" x14ac:dyDescent="0.25">
      <c r="C342" s="3"/>
      <c r="D342" s="3"/>
      <c r="E342" s="3"/>
      <c r="F342" s="3"/>
      <c r="G342" s="21"/>
      <c r="H342" s="3"/>
      <c r="I342" s="18"/>
      <c r="J342" s="18"/>
      <c r="K342" s="16"/>
      <c r="L342" s="18"/>
      <c r="M342" s="16"/>
      <c r="N342" s="19"/>
      <c r="O342" s="19"/>
      <c r="P342" s="19"/>
      <c r="Q342" s="8"/>
    </row>
    <row r="343" spans="3:17" s="2" customFormat="1" ht="15.75" x14ac:dyDescent="0.25">
      <c r="C343" s="3"/>
      <c r="D343" s="3"/>
      <c r="E343" s="3"/>
      <c r="F343" s="3"/>
      <c r="G343" s="21"/>
      <c r="H343" s="3"/>
      <c r="I343" s="18"/>
      <c r="J343" s="18"/>
      <c r="K343" s="16"/>
      <c r="L343" s="18"/>
      <c r="M343" s="16"/>
      <c r="N343" s="19"/>
      <c r="O343" s="19"/>
      <c r="P343" s="19"/>
      <c r="Q343" s="8"/>
    </row>
    <row r="344" spans="3:17" s="2" customFormat="1" ht="15.75" x14ac:dyDescent="0.25">
      <c r="C344" s="3"/>
      <c r="D344" s="3"/>
      <c r="E344" s="3"/>
      <c r="F344" s="3"/>
      <c r="G344" s="21"/>
      <c r="H344" s="3"/>
      <c r="I344" s="18"/>
      <c r="J344" s="18"/>
      <c r="K344" s="16"/>
      <c r="L344" s="18"/>
      <c r="M344" s="16"/>
      <c r="N344" s="19"/>
      <c r="O344" s="19"/>
      <c r="P344" s="19"/>
      <c r="Q344" s="8"/>
    </row>
    <row r="345" spans="3:17" s="2" customFormat="1" ht="15.75" x14ac:dyDescent="0.25">
      <c r="C345" s="3"/>
      <c r="D345" s="3"/>
      <c r="E345" s="3"/>
      <c r="F345" s="3"/>
      <c r="G345" s="21"/>
      <c r="H345" s="3"/>
      <c r="I345" s="18"/>
      <c r="J345" s="18"/>
      <c r="K345" s="16"/>
      <c r="L345" s="18"/>
      <c r="M345" s="16"/>
      <c r="N345" s="19"/>
      <c r="O345" s="19"/>
      <c r="P345" s="19"/>
      <c r="Q345" s="8"/>
    </row>
    <row r="346" spans="3:17" s="2" customFormat="1" ht="15.75" x14ac:dyDescent="0.25">
      <c r="C346" s="3"/>
      <c r="D346" s="3"/>
      <c r="E346" s="3"/>
      <c r="F346" s="3"/>
      <c r="G346" s="21"/>
      <c r="H346" s="3"/>
      <c r="I346" s="18"/>
      <c r="J346" s="18"/>
      <c r="K346" s="16"/>
      <c r="L346" s="18"/>
      <c r="M346" s="16"/>
      <c r="N346" s="19"/>
      <c r="O346" s="19"/>
      <c r="P346" s="19"/>
      <c r="Q346" s="8"/>
    </row>
    <row r="347" spans="3:17" s="2" customFormat="1" ht="15.75" x14ac:dyDescent="0.25">
      <c r="C347" s="3"/>
      <c r="D347" s="3"/>
      <c r="E347" s="3"/>
      <c r="F347" s="3"/>
      <c r="G347" s="21"/>
      <c r="H347" s="3"/>
      <c r="I347" s="18"/>
      <c r="J347" s="18"/>
      <c r="K347" s="16"/>
      <c r="L347" s="18"/>
      <c r="M347" s="16"/>
      <c r="N347" s="19"/>
      <c r="O347" s="19"/>
      <c r="P347" s="19"/>
      <c r="Q347" s="8"/>
    </row>
    <row r="348" spans="3:17" s="2" customFormat="1" ht="15.75" x14ac:dyDescent="0.25">
      <c r="C348" s="3"/>
      <c r="D348" s="3"/>
      <c r="E348" s="3"/>
      <c r="F348" s="3"/>
      <c r="G348" s="21"/>
      <c r="H348" s="3"/>
      <c r="I348" s="18"/>
      <c r="J348" s="18"/>
      <c r="K348" s="16"/>
      <c r="L348" s="18"/>
      <c r="M348" s="16"/>
      <c r="N348" s="19"/>
      <c r="O348" s="19"/>
      <c r="P348" s="19"/>
      <c r="Q348" s="8"/>
    </row>
    <row r="349" spans="3:17" s="2" customFormat="1" ht="15.75" x14ac:dyDescent="0.25">
      <c r="C349" s="3"/>
      <c r="D349" s="3"/>
      <c r="E349" s="3"/>
      <c r="F349" s="3"/>
      <c r="G349" s="21"/>
      <c r="H349" s="3"/>
      <c r="I349" s="18"/>
      <c r="J349" s="18"/>
      <c r="K349" s="16"/>
      <c r="L349" s="18"/>
      <c r="M349" s="16"/>
      <c r="N349" s="19"/>
      <c r="O349" s="19"/>
      <c r="P349" s="19"/>
      <c r="Q349" s="8"/>
    </row>
    <row r="350" spans="3:17" s="2" customFormat="1" ht="15.75" x14ac:dyDescent="0.25">
      <c r="C350" s="3"/>
      <c r="D350" s="3"/>
      <c r="E350" s="3"/>
      <c r="F350" s="3"/>
      <c r="G350" s="21"/>
      <c r="H350" s="3"/>
      <c r="I350" s="18"/>
      <c r="J350" s="18"/>
      <c r="K350" s="16"/>
      <c r="L350" s="18"/>
      <c r="M350" s="16"/>
      <c r="N350" s="19"/>
      <c r="O350" s="19"/>
      <c r="P350" s="19"/>
      <c r="Q350" s="8"/>
    </row>
    <row r="351" spans="3:17" s="2" customFormat="1" ht="15.75" x14ac:dyDescent="0.25">
      <c r="C351" s="3"/>
      <c r="D351" s="3"/>
      <c r="E351" s="3"/>
      <c r="F351" s="3"/>
      <c r="G351" s="21"/>
      <c r="H351" s="3"/>
      <c r="I351" s="18"/>
      <c r="J351" s="18"/>
      <c r="K351" s="16"/>
      <c r="L351" s="18"/>
      <c r="M351" s="16"/>
      <c r="N351" s="19"/>
      <c r="O351" s="19"/>
      <c r="P351" s="19"/>
      <c r="Q351" s="8"/>
    </row>
    <row r="352" spans="3:17" s="2" customFormat="1" ht="15.75" x14ac:dyDescent="0.25">
      <c r="C352" s="3"/>
      <c r="D352" s="3"/>
      <c r="E352" s="3"/>
      <c r="F352" s="3"/>
      <c r="G352" s="21"/>
      <c r="H352" s="3"/>
      <c r="I352" s="18"/>
      <c r="J352" s="18"/>
      <c r="K352" s="16"/>
      <c r="L352" s="18"/>
      <c r="M352" s="16"/>
      <c r="N352" s="19"/>
      <c r="O352" s="19"/>
      <c r="P352" s="19"/>
      <c r="Q352" s="8"/>
    </row>
    <row r="353" spans="3:17" s="2" customFormat="1" ht="15.75" x14ac:dyDescent="0.25">
      <c r="C353" s="3"/>
      <c r="D353" s="3"/>
      <c r="E353" s="3"/>
      <c r="F353" s="3"/>
      <c r="G353" s="21"/>
      <c r="H353" s="3"/>
      <c r="I353" s="18"/>
      <c r="J353" s="18"/>
      <c r="K353" s="16"/>
      <c r="L353" s="18"/>
      <c r="M353" s="16"/>
      <c r="N353" s="19"/>
      <c r="O353" s="19"/>
      <c r="P353" s="19"/>
      <c r="Q353" s="8"/>
    </row>
    <row r="354" spans="3:17" s="2" customFormat="1" ht="15.75" x14ac:dyDescent="0.25">
      <c r="C354" s="3"/>
      <c r="D354" s="3"/>
      <c r="E354" s="3"/>
      <c r="F354" s="3"/>
      <c r="G354" s="21"/>
      <c r="H354" s="3"/>
      <c r="I354" s="18"/>
      <c r="J354" s="18"/>
      <c r="K354" s="16"/>
      <c r="L354" s="18"/>
      <c r="M354" s="16"/>
      <c r="N354" s="19"/>
      <c r="O354" s="19"/>
      <c r="P354" s="19"/>
      <c r="Q354" s="8"/>
    </row>
    <row r="355" spans="3:17" s="2" customFormat="1" ht="15.75" x14ac:dyDescent="0.25">
      <c r="C355" s="3"/>
      <c r="D355" s="3"/>
      <c r="E355" s="3"/>
      <c r="F355" s="3"/>
      <c r="G355" s="21"/>
      <c r="H355" s="3"/>
      <c r="I355" s="18"/>
      <c r="J355" s="18"/>
      <c r="K355" s="16"/>
      <c r="L355" s="18"/>
      <c r="M355" s="16"/>
      <c r="N355" s="19"/>
      <c r="O355" s="19"/>
      <c r="P355" s="19"/>
      <c r="Q355" s="8"/>
    </row>
    <row r="356" spans="3:17" s="2" customFormat="1" ht="15.75" x14ac:dyDescent="0.25">
      <c r="C356" s="1"/>
      <c r="D356" s="1"/>
      <c r="E356" s="1"/>
      <c r="F356" s="1"/>
      <c r="G356" s="15"/>
      <c r="H356" s="1"/>
      <c r="I356" s="20"/>
      <c r="J356" s="20"/>
      <c r="K356" s="14"/>
      <c r="L356" s="20"/>
      <c r="M356" s="14"/>
      <c r="N356" s="17"/>
      <c r="O356" s="17"/>
      <c r="P356" s="17"/>
      <c r="Q356" s="7"/>
    </row>
    <row r="357" spans="3:17" s="2" customFormat="1" ht="15.75" x14ac:dyDescent="0.25">
      <c r="C357" s="1"/>
      <c r="D357" s="1"/>
      <c r="E357" s="1"/>
      <c r="F357" s="1"/>
      <c r="G357" s="15"/>
      <c r="H357" s="1"/>
      <c r="I357" s="20"/>
      <c r="J357" s="20"/>
      <c r="K357" s="14"/>
      <c r="L357" s="20"/>
      <c r="M357" s="14"/>
      <c r="N357" s="17"/>
      <c r="O357" s="17"/>
      <c r="P357" s="17"/>
      <c r="Q357" s="7"/>
    </row>
    <row r="358" spans="3:17" s="2" customFormat="1" ht="15.75" x14ac:dyDescent="0.25">
      <c r="C358" s="1"/>
      <c r="D358" s="1"/>
      <c r="E358" s="1"/>
      <c r="F358" s="1"/>
      <c r="G358" s="15"/>
      <c r="H358" s="1"/>
      <c r="I358" s="20"/>
      <c r="J358" s="20"/>
      <c r="K358" s="14"/>
      <c r="L358" s="20"/>
      <c r="M358" s="14"/>
      <c r="N358" s="17"/>
      <c r="O358" s="17"/>
      <c r="P358" s="17"/>
      <c r="Q358" s="7"/>
    </row>
    <row r="359" spans="3:17" s="2" customFormat="1" ht="15.75" x14ac:dyDescent="0.25">
      <c r="C359" s="1"/>
      <c r="D359" s="1"/>
      <c r="E359" s="1"/>
      <c r="F359" s="1"/>
      <c r="G359" s="15"/>
      <c r="H359" s="1"/>
      <c r="I359" s="20"/>
      <c r="J359" s="20"/>
      <c r="K359" s="14"/>
      <c r="L359" s="20"/>
      <c r="M359" s="14"/>
      <c r="N359" s="17"/>
      <c r="O359" s="17"/>
      <c r="P359" s="17"/>
      <c r="Q359" s="7"/>
    </row>
    <row r="360" spans="3:17" s="2" customFormat="1" ht="15.75" x14ac:dyDescent="0.25">
      <c r="C360" s="1"/>
      <c r="D360" s="1"/>
      <c r="E360" s="1"/>
      <c r="F360" s="1"/>
      <c r="G360" s="15"/>
      <c r="H360" s="1"/>
      <c r="I360" s="20"/>
      <c r="J360" s="20"/>
      <c r="K360" s="14"/>
      <c r="L360" s="20"/>
      <c r="M360" s="14"/>
      <c r="N360" s="17"/>
      <c r="O360" s="17"/>
      <c r="P360" s="17"/>
      <c r="Q360" s="7"/>
    </row>
    <row r="361" spans="3:17" s="2" customFormat="1" ht="15.75" x14ac:dyDescent="0.25">
      <c r="C361" s="1"/>
      <c r="D361" s="1"/>
      <c r="E361" s="1"/>
      <c r="F361" s="1"/>
      <c r="G361" s="15"/>
      <c r="H361" s="1"/>
      <c r="I361" s="20"/>
      <c r="J361" s="20"/>
      <c r="K361" s="14"/>
      <c r="L361" s="20"/>
      <c r="M361" s="14"/>
      <c r="N361" s="17"/>
      <c r="O361" s="17"/>
      <c r="P361" s="17"/>
      <c r="Q361" s="7"/>
    </row>
    <row r="362" spans="3:17" s="2" customFormat="1" ht="15.75" x14ac:dyDescent="0.25">
      <c r="C362" s="1"/>
      <c r="D362" s="1"/>
      <c r="E362" s="1"/>
      <c r="F362" s="1"/>
      <c r="G362" s="15"/>
      <c r="H362" s="1"/>
      <c r="I362" s="20"/>
      <c r="J362" s="20"/>
      <c r="K362" s="14"/>
      <c r="L362" s="20"/>
      <c r="M362" s="14"/>
      <c r="N362" s="17"/>
      <c r="O362" s="17"/>
      <c r="P362" s="17"/>
      <c r="Q362" s="7"/>
    </row>
    <row r="363" spans="3:17" s="2" customFormat="1" ht="15.75" x14ac:dyDescent="0.25">
      <c r="C363" s="1"/>
      <c r="D363" s="1"/>
      <c r="E363" s="1"/>
      <c r="F363" s="1"/>
      <c r="G363" s="15"/>
      <c r="H363" s="1"/>
      <c r="I363" s="20"/>
      <c r="J363" s="20"/>
      <c r="K363" s="14"/>
      <c r="L363" s="20"/>
      <c r="M363" s="14"/>
      <c r="N363" s="17"/>
      <c r="O363" s="17"/>
      <c r="P363" s="17"/>
      <c r="Q363" s="7"/>
    </row>
    <row r="364" spans="3:17" s="2" customFormat="1" ht="15.75" x14ac:dyDescent="0.25">
      <c r="C364" s="1"/>
      <c r="D364" s="1"/>
      <c r="E364" s="1"/>
      <c r="F364" s="1"/>
      <c r="G364" s="15"/>
      <c r="H364" s="1"/>
      <c r="I364" s="20"/>
      <c r="J364" s="20"/>
      <c r="K364" s="14"/>
      <c r="L364" s="20"/>
      <c r="M364" s="14"/>
      <c r="N364" s="17"/>
      <c r="O364" s="17"/>
      <c r="P364" s="17"/>
      <c r="Q364" s="7"/>
    </row>
    <row r="365" spans="3:17" s="2" customFormat="1" ht="15.75" x14ac:dyDescent="0.25">
      <c r="C365" s="1"/>
      <c r="D365" s="1"/>
      <c r="E365" s="1"/>
      <c r="F365" s="1"/>
      <c r="G365" s="15"/>
      <c r="H365" s="1"/>
      <c r="I365" s="20"/>
      <c r="J365" s="20"/>
      <c r="K365" s="14"/>
      <c r="L365" s="20"/>
      <c r="M365" s="14"/>
      <c r="N365" s="17"/>
      <c r="O365" s="17"/>
      <c r="P365" s="17"/>
      <c r="Q365" s="7"/>
    </row>
    <row r="366" spans="3:17" s="2" customFormat="1" ht="15.75" x14ac:dyDescent="0.25">
      <c r="C366" s="1"/>
      <c r="D366" s="1"/>
      <c r="E366" s="1"/>
      <c r="F366" s="1"/>
      <c r="G366" s="15"/>
      <c r="H366" s="1"/>
      <c r="I366" s="20"/>
      <c r="J366" s="20"/>
      <c r="K366" s="14"/>
      <c r="L366" s="20"/>
      <c r="M366" s="14"/>
      <c r="N366" s="17"/>
      <c r="O366" s="17"/>
      <c r="P366" s="17"/>
      <c r="Q366" s="7"/>
    </row>
    <row r="367" spans="3:17" s="2" customFormat="1" ht="15.75" x14ac:dyDescent="0.25">
      <c r="C367" s="1"/>
      <c r="D367" s="1"/>
      <c r="E367" s="1"/>
      <c r="F367" s="1"/>
      <c r="G367" s="15"/>
      <c r="H367" s="1"/>
      <c r="I367" s="20"/>
      <c r="J367" s="20"/>
      <c r="K367" s="14"/>
      <c r="L367" s="20"/>
      <c r="M367" s="14"/>
      <c r="N367" s="17"/>
      <c r="O367" s="17"/>
      <c r="P367" s="17"/>
      <c r="Q367" s="7"/>
    </row>
    <row r="368" spans="3:17" s="2" customFormat="1" ht="15.75" x14ac:dyDescent="0.25">
      <c r="C368" s="1"/>
      <c r="D368" s="1"/>
      <c r="E368" s="1"/>
      <c r="F368" s="1"/>
      <c r="G368" s="15"/>
      <c r="H368" s="1"/>
      <c r="I368" s="20"/>
      <c r="J368" s="20"/>
      <c r="K368" s="14"/>
      <c r="L368" s="20"/>
      <c r="M368" s="14"/>
      <c r="N368" s="17"/>
      <c r="O368" s="17"/>
      <c r="P368" s="17"/>
      <c r="Q368" s="7"/>
    </row>
    <row r="369" spans="3:17" s="2" customFormat="1" ht="15.75" x14ac:dyDescent="0.25">
      <c r="C369" s="1"/>
      <c r="D369" s="1"/>
      <c r="E369" s="1"/>
      <c r="F369" s="1"/>
      <c r="G369" s="15"/>
      <c r="H369" s="1"/>
      <c r="I369" s="20"/>
      <c r="J369" s="20"/>
      <c r="K369" s="14"/>
      <c r="L369" s="20"/>
      <c r="M369" s="14"/>
      <c r="N369" s="17"/>
      <c r="O369" s="17"/>
      <c r="P369" s="17"/>
      <c r="Q369" s="7"/>
    </row>
    <row r="370" spans="3:17" s="2" customFormat="1" ht="15.75" x14ac:dyDescent="0.25">
      <c r="C370" s="1"/>
      <c r="D370" s="1"/>
      <c r="E370" s="1"/>
      <c r="F370" s="1"/>
      <c r="G370" s="15"/>
      <c r="H370" s="1"/>
      <c r="I370" s="20"/>
      <c r="J370" s="20"/>
      <c r="K370" s="14"/>
      <c r="L370" s="20"/>
      <c r="M370" s="14"/>
      <c r="N370" s="17"/>
      <c r="O370" s="17"/>
      <c r="P370" s="17"/>
      <c r="Q370" s="7"/>
    </row>
    <row r="371" spans="3:17" s="2" customFormat="1" ht="15.75" x14ac:dyDescent="0.25">
      <c r="C371" s="1"/>
      <c r="D371" s="1"/>
      <c r="E371" s="1"/>
      <c r="F371" s="1"/>
      <c r="G371" s="15"/>
      <c r="H371" s="1"/>
      <c r="I371" s="20"/>
      <c r="J371" s="20"/>
      <c r="K371" s="14"/>
      <c r="L371" s="20"/>
      <c r="M371" s="14"/>
      <c r="N371" s="17"/>
      <c r="O371" s="17"/>
      <c r="P371" s="17"/>
      <c r="Q371" s="7"/>
    </row>
    <row r="372" spans="3:17" s="2" customFormat="1" ht="15.75" x14ac:dyDescent="0.25">
      <c r="C372" s="1"/>
      <c r="D372" s="1"/>
      <c r="E372" s="1"/>
      <c r="F372" s="1"/>
      <c r="G372" s="15"/>
      <c r="H372" s="1"/>
      <c r="I372" s="20"/>
      <c r="J372" s="20"/>
      <c r="K372" s="14"/>
      <c r="L372" s="20"/>
      <c r="M372" s="14"/>
      <c r="N372" s="17"/>
      <c r="O372" s="17"/>
      <c r="P372" s="17"/>
      <c r="Q372" s="7"/>
    </row>
    <row r="373" spans="3:17" s="2" customFormat="1" ht="15.75" x14ac:dyDescent="0.25">
      <c r="C373" s="1"/>
      <c r="D373" s="1"/>
      <c r="E373" s="1"/>
      <c r="F373" s="1"/>
      <c r="G373" s="15"/>
      <c r="H373" s="1"/>
      <c r="I373" s="20"/>
      <c r="J373" s="20"/>
      <c r="K373" s="14"/>
      <c r="L373" s="20"/>
      <c r="M373" s="14"/>
      <c r="N373" s="17"/>
      <c r="O373" s="17"/>
      <c r="P373" s="17"/>
      <c r="Q373" s="7"/>
    </row>
    <row r="374" spans="3:17" s="2" customFormat="1" ht="15.75" x14ac:dyDescent="0.25">
      <c r="C374" s="1"/>
      <c r="D374" s="1"/>
      <c r="E374" s="1"/>
      <c r="F374" s="1"/>
      <c r="G374" s="15"/>
      <c r="H374" s="1"/>
      <c r="I374" s="20"/>
      <c r="J374" s="20"/>
      <c r="K374" s="14"/>
      <c r="L374" s="20"/>
      <c r="M374" s="14"/>
      <c r="N374" s="17"/>
      <c r="O374" s="17"/>
      <c r="P374" s="17"/>
      <c r="Q374" s="7"/>
    </row>
    <row r="375" spans="3:17" s="2" customFormat="1" ht="15.75" x14ac:dyDescent="0.25">
      <c r="C375" s="1"/>
      <c r="D375" s="1"/>
      <c r="E375" s="1"/>
      <c r="F375" s="1"/>
      <c r="G375" s="15"/>
      <c r="H375" s="1"/>
      <c r="I375" s="20"/>
      <c r="J375" s="20"/>
      <c r="K375" s="14"/>
      <c r="L375" s="20"/>
      <c r="M375" s="14"/>
      <c r="N375" s="17"/>
      <c r="O375" s="17"/>
      <c r="P375" s="17"/>
      <c r="Q375" s="7"/>
    </row>
    <row r="376" spans="3:17" s="2" customFormat="1" ht="15.75" x14ac:dyDescent="0.25">
      <c r="C376" s="1"/>
      <c r="D376" s="1"/>
      <c r="E376" s="1"/>
      <c r="F376" s="1"/>
      <c r="G376" s="15"/>
      <c r="H376" s="1"/>
      <c r="I376" s="20"/>
      <c r="J376" s="20"/>
      <c r="K376" s="14"/>
      <c r="L376" s="20"/>
      <c r="M376" s="14"/>
      <c r="N376" s="17"/>
      <c r="O376" s="17"/>
      <c r="P376" s="17"/>
      <c r="Q376" s="7"/>
    </row>
    <row r="377" spans="3:17" s="2" customFormat="1" ht="15.75" x14ac:dyDescent="0.25">
      <c r="C377" s="1"/>
      <c r="D377" s="1"/>
      <c r="E377" s="1"/>
      <c r="F377" s="1"/>
      <c r="G377" s="15"/>
      <c r="H377" s="1"/>
      <c r="I377" s="20"/>
      <c r="J377" s="20"/>
      <c r="K377" s="14"/>
      <c r="L377" s="20"/>
      <c r="M377" s="14"/>
      <c r="N377" s="17"/>
      <c r="O377" s="17"/>
      <c r="P377" s="17"/>
      <c r="Q377" s="7"/>
    </row>
    <row r="378" spans="3:17" s="2" customFormat="1" ht="15.75" x14ac:dyDescent="0.25">
      <c r="C378" s="1"/>
      <c r="D378" s="1"/>
      <c r="E378" s="1"/>
      <c r="F378" s="1"/>
      <c r="G378" s="15"/>
      <c r="H378" s="1"/>
      <c r="I378" s="20"/>
      <c r="J378" s="20"/>
      <c r="K378" s="14"/>
      <c r="L378" s="20"/>
      <c r="M378" s="14"/>
      <c r="N378" s="17"/>
      <c r="O378" s="17"/>
      <c r="P378" s="17"/>
      <c r="Q378" s="7"/>
    </row>
    <row r="379" spans="3:17" s="2" customFormat="1" ht="15.75" x14ac:dyDescent="0.25">
      <c r="C379" s="1"/>
      <c r="D379" s="1"/>
      <c r="E379" s="1"/>
      <c r="F379" s="1"/>
      <c r="G379" s="15"/>
      <c r="H379" s="1"/>
      <c r="I379" s="20"/>
      <c r="J379" s="20"/>
      <c r="K379" s="14"/>
      <c r="L379" s="20"/>
      <c r="M379" s="14"/>
      <c r="N379" s="17"/>
      <c r="O379" s="17"/>
      <c r="P379" s="17"/>
      <c r="Q379" s="7"/>
    </row>
    <row r="380" spans="3:17" s="2" customFormat="1" ht="15.75" x14ac:dyDescent="0.25">
      <c r="C380" s="1"/>
      <c r="D380" s="1"/>
      <c r="E380" s="1"/>
      <c r="F380" s="1"/>
      <c r="G380" s="15"/>
      <c r="H380" s="1"/>
      <c r="I380" s="20"/>
      <c r="J380" s="20"/>
      <c r="K380" s="14"/>
      <c r="L380" s="20"/>
      <c r="M380" s="14"/>
      <c r="N380" s="17"/>
      <c r="O380" s="17"/>
      <c r="P380" s="17"/>
      <c r="Q380" s="7"/>
    </row>
    <row r="381" spans="3:17" s="2" customFormat="1" ht="15.75" x14ac:dyDescent="0.25">
      <c r="C381" s="1"/>
      <c r="D381" s="1"/>
      <c r="E381" s="1"/>
      <c r="F381" s="1"/>
      <c r="G381" s="15"/>
      <c r="H381" s="1"/>
      <c r="I381" s="20"/>
      <c r="J381" s="20"/>
      <c r="K381" s="14"/>
      <c r="L381" s="20"/>
      <c r="M381" s="14"/>
      <c r="N381" s="17"/>
      <c r="O381" s="17"/>
      <c r="P381" s="17"/>
      <c r="Q381" s="7"/>
    </row>
    <row r="382" spans="3:17" s="2" customFormat="1" ht="15.75" x14ac:dyDescent="0.25">
      <c r="C382" s="1"/>
      <c r="D382" s="1"/>
      <c r="E382" s="1"/>
      <c r="F382" s="1"/>
      <c r="G382" s="15"/>
      <c r="H382" s="1"/>
      <c r="I382" s="20"/>
      <c r="J382" s="20"/>
      <c r="K382" s="14"/>
      <c r="L382" s="20"/>
      <c r="M382" s="14"/>
      <c r="N382" s="17"/>
      <c r="O382" s="17"/>
      <c r="P382" s="17"/>
      <c r="Q382" s="7"/>
    </row>
    <row r="383" spans="3:17" s="2" customFormat="1" ht="15.75" x14ac:dyDescent="0.25">
      <c r="C383" s="1"/>
      <c r="D383" s="1"/>
      <c r="E383" s="1"/>
      <c r="F383" s="1"/>
      <c r="G383" s="15"/>
      <c r="H383" s="1"/>
      <c r="I383" s="20"/>
      <c r="J383" s="20"/>
      <c r="K383" s="14"/>
      <c r="L383" s="20"/>
      <c r="M383" s="14"/>
      <c r="N383" s="17"/>
      <c r="O383" s="17"/>
      <c r="P383" s="17"/>
      <c r="Q383" s="7"/>
    </row>
    <row r="384" spans="3:17" s="2" customFormat="1" ht="15.75" x14ac:dyDescent="0.25">
      <c r="C384" s="1"/>
      <c r="D384" s="1"/>
      <c r="E384" s="1"/>
      <c r="F384" s="1"/>
      <c r="G384" s="15"/>
      <c r="H384" s="1"/>
      <c r="I384" s="20"/>
      <c r="J384" s="20"/>
      <c r="K384" s="14"/>
      <c r="L384" s="20"/>
      <c r="M384" s="14"/>
      <c r="N384" s="17"/>
      <c r="O384" s="17"/>
      <c r="P384" s="17"/>
      <c r="Q384" s="7"/>
    </row>
    <row r="385" spans="3:19" s="2" customFormat="1" ht="15.75" x14ac:dyDescent="0.25">
      <c r="C385" s="1"/>
      <c r="D385" s="1"/>
      <c r="E385" s="1"/>
      <c r="F385" s="1"/>
      <c r="G385" s="15"/>
      <c r="H385" s="1"/>
      <c r="I385" s="20"/>
      <c r="J385" s="20"/>
      <c r="K385" s="14"/>
      <c r="L385" s="20"/>
      <c r="M385" s="14"/>
      <c r="N385" s="17"/>
      <c r="O385" s="17"/>
      <c r="P385" s="17"/>
      <c r="Q385" s="7"/>
    </row>
    <row r="386" spans="3:19" s="2" customFormat="1" ht="15.75" x14ac:dyDescent="0.25">
      <c r="C386" s="1"/>
      <c r="D386" s="1"/>
      <c r="E386" s="1"/>
      <c r="F386" s="1"/>
      <c r="G386" s="15"/>
      <c r="H386" s="1"/>
      <c r="I386" s="20"/>
      <c r="J386" s="20"/>
      <c r="K386" s="14"/>
      <c r="L386" s="20"/>
      <c r="M386" s="14"/>
      <c r="N386" s="17"/>
      <c r="O386" s="17"/>
      <c r="P386" s="17"/>
      <c r="Q386" s="7"/>
    </row>
    <row r="387" spans="3:19" s="2" customFormat="1" ht="15.75" x14ac:dyDescent="0.25">
      <c r="C387" s="1"/>
      <c r="D387" s="1"/>
      <c r="E387" s="1"/>
      <c r="F387" s="1"/>
      <c r="G387" s="15"/>
      <c r="H387" s="1"/>
      <c r="I387" s="20"/>
      <c r="J387" s="20"/>
      <c r="K387" s="14"/>
      <c r="L387" s="20"/>
      <c r="M387" s="14"/>
      <c r="N387" s="17"/>
      <c r="O387" s="17"/>
      <c r="P387" s="17"/>
      <c r="Q387" s="7"/>
    </row>
    <row r="388" spans="3:19" s="2" customFormat="1" ht="15.75" x14ac:dyDescent="0.25">
      <c r="C388" s="1"/>
      <c r="D388" s="1"/>
      <c r="E388" s="1"/>
      <c r="F388" s="1"/>
      <c r="G388" s="15"/>
      <c r="H388" s="1"/>
      <c r="I388" s="20"/>
      <c r="J388" s="20"/>
      <c r="K388" s="14"/>
      <c r="L388" s="20"/>
      <c r="M388" s="14"/>
      <c r="N388" s="17"/>
      <c r="O388" s="17"/>
      <c r="P388" s="17"/>
      <c r="Q388" s="7"/>
    </row>
    <row r="389" spans="3:19" s="2" customFormat="1" ht="15.75" x14ac:dyDescent="0.25">
      <c r="C389" s="1"/>
      <c r="D389" s="1"/>
      <c r="E389" s="1"/>
      <c r="F389" s="1"/>
      <c r="G389" s="15"/>
      <c r="H389" s="1"/>
      <c r="I389" s="20"/>
      <c r="J389" s="20"/>
      <c r="K389" s="14"/>
      <c r="L389" s="20"/>
      <c r="M389" s="14"/>
      <c r="N389" s="17"/>
      <c r="O389" s="17"/>
      <c r="P389" s="17"/>
      <c r="Q389" s="7"/>
    </row>
    <row r="390" spans="3:19" s="2" customFormat="1" ht="15.75" x14ac:dyDescent="0.25">
      <c r="C390" s="1"/>
      <c r="D390" s="1"/>
      <c r="E390" s="1"/>
      <c r="F390" s="1"/>
      <c r="G390" s="15"/>
      <c r="H390" s="1"/>
      <c r="I390" s="20"/>
      <c r="J390" s="20"/>
      <c r="K390" s="14"/>
      <c r="L390" s="20"/>
      <c r="M390" s="14"/>
      <c r="N390" s="17"/>
      <c r="O390" s="17"/>
      <c r="P390" s="17"/>
      <c r="Q390" s="7"/>
    </row>
    <row r="391" spans="3:19" s="2" customFormat="1" ht="15.75" x14ac:dyDescent="0.25">
      <c r="C391" s="1"/>
      <c r="D391" s="1"/>
      <c r="E391" s="1"/>
      <c r="F391" s="1"/>
      <c r="G391" s="15"/>
      <c r="H391" s="1"/>
      <c r="I391" s="20"/>
      <c r="J391" s="20"/>
      <c r="K391" s="14"/>
      <c r="L391" s="20"/>
      <c r="M391" s="14"/>
      <c r="N391" s="17"/>
      <c r="O391" s="17"/>
      <c r="P391" s="17"/>
      <c r="Q391" s="7"/>
    </row>
    <row r="392" spans="3:19" s="2" customFormat="1" ht="15.75" x14ac:dyDescent="0.25">
      <c r="C392" s="1"/>
      <c r="D392" s="1"/>
      <c r="E392" s="1"/>
      <c r="F392" s="1"/>
      <c r="G392" s="15"/>
      <c r="H392" s="1"/>
      <c r="I392" s="20"/>
      <c r="J392" s="20"/>
      <c r="K392" s="14"/>
      <c r="L392" s="20"/>
      <c r="M392" s="14"/>
      <c r="N392" s="17"/>
      <c r="O392" s="17"/>
      <c r="P392" s="17"/>
      <c r="Q392" s="7"/>
      <c r="S392" s="2" t="s">
        <v>12</v>
      </c>
    </row>
    <row r="393" spans="3:19" s="2" customFormat="1" ht="15.75" x14ac:dyDescent="0.25">
      <c r="C393" s="1"/>
      <c r="D393" s="1"/>
      <c r="E393" s="1"/>
      <c r="F393" s="1"/>
      <c r="G393" s="15"/>
      <c r="H393" s="1"/>
      <c r="I393" s="20"/>
      <c r="J393" s="20"/>
      <c r="K393" s="14"/>
      <c r="L393" s="20"/>
      <c r="M393" s="14"/>
      <c r="N393" s="17"/>
      <c r="O393" s="17"/>
      <c r="P393" s="17"/>
      <c r="Q393" s="7"/>
    </row>
    <row r="394" spans="3:19" s="2" customFormat="1" ht="15.75" x14ac:dyDescent="0.25">
      <c r="C394" s="1"/>
      <c r="D394" s="1"/>
      <c r="E394" s="1"/>
      <c r="F394" s="1"/>
      <c r="G394" s="15"/>
      <c r="H394" s="1"/>
      <c r="I394" s="20"/>
      <c r="J394" s="20"/>
      <c r="K394" s="14"/>
      <c r="L394" s="20"/>
      <c r="M394" s="14"/>
      <c r="N394" s="17"/>
      <c r="O394" s="17"/>
      <c r="P394" s="17"/>
      <c r="Q394" s="7"/>
    </row>
    <row r="395" spans="3:19" s="2" customFormat="1" ht="15.75" x14ac:dyDescent="0.25">
      <c r="C395" s="1"/>
      <c r="D395" s="1"/>
      <c r="E395" s="1"/>
      <c r="F395" s="1"/>
      <c r="G395" s="15"/>
      <c r="H395" s="1"/>
      <c r="I395" s="20"/>
      <c r="J395" s="20"/>
      <c r="K395" s="14"/>
      <c r="L395" s="20"/>
      <c r="M395" s="14"/>
      <c r="N395" s="17"/>
      <c r="O395" s="17"/>
      <c r="P395" s="17"/>
      <c r="Q395" s="7"/>
    </row>
    <row r="396" spans="3:19" s="2" customFormat="1" ht="15.75" x14ac:dyDescent="0.25">
      <c r="C396" s="1"/>
      <c r="D396" s="1"/>
      <c r="E396" s="1"/>
      <c r="F396" s="1"/>
      <c r="G396" s="15"/>
      <c r="H396" s="1"/>
      <c r="I396" s="20"/>
      <c r="J396" s="20"/>
      <c r="K396" s="14"/>
      <c r="L396" s="20"/>
      <c r="M396" s="14"/>
      <c r="N396" s="17"/>
      <c r="O396" s="17"/>
      <c r="P396" s="17"/>
      <c r="Q396" s="7"/>
    </row>
    <row r="397" spans="3:19" s="2" customFormat="1" ht="15.75" x14ac:dyDescent="0.25">
      <c r="C397" s="1"/>
      <c r="D397" s="1"/>
      <c r="E397" s="1"/>
      <c r="F397" s="1"/>
      <c r="G397" s="15"/>
      <c r="H397" s="1"/>
      <c r="I397" s="20"/>
      <c r="J397" s="20"/>
      <c r="K397" s="14"/>
      <c r="L397" s="20"/>
      <c r="M397" s="14"/>
      <c r="N397" s="17"/>
      <c r="O397" s="17"/>
      <c r="P397" s="17"/>
      <c r="Q397" s="7"/>
    </row>
    <row r="398" spans="3:19" s="2" customFormat="1" ht="15.75" x14ac:dyDescent="0.25">
      <c r="C398" s="1"/>
      <c r="D398" s="1"/>
      <c r="E398" s="1"/>
      <c r="F398" s="1"/>
      <c r="G398" s="15"/>
      <c r="H398" s="1"/>
      <c r="I398" s="20"/>
      <c r="J398" s="20"/>
      <c r="K398" s="14"/>
      <c r="L398" s="20"/>
      <c r="M398" s="14"/>
      <c r="N398" s="17"/>
      <c r="O398" s="17"/>
      <c r="P398" s="17"/>
      <c r="Q398" s="7"/>
    </row>
    <row r="399" spans="3:19" s="2" customFormat="1" ht="15.75" x14ac:dyDescent="0.25">
      <c r="C399" s="1"/>
      <c r="D399" s="1"/>
      <c r="E399" s="1"/>
      <c r="F399" s="1"/>
      <c r="G399" s="15"/>
      <c r="H399" s="1"/>
      <c r="I399" s="20"/>
      <c r="J399" s="20"/>
      <c r="K399" s="14"/>
      <c r="L399" s="20"/>
      <c r="M399" s="14"/>
      <c r="N399" s="17"/>
      <c r="O399" s="17"/>
      <c r="P399" s="17"/>
      <c r="Q399" s="7"/>
    </row>
    <row r="400" spans="3:19" s="2" customFormat="1" ht="15.75" x14ac:dyDescent="0.25">
      <c r="C400" s="1"/>
      <c r="D400" s="1"/>
      <c r="E400" s="1"/>
      <c r="F400" s="1"/>
      <c r="G400" s="15"/>
      <c r="H400" s="1"/>
      <c r="I400" s="20"/>
      <c r="J400" s="20"/>
      <c r="K400" s="14"/>
      <c r="L400" s="20"/>
      <c r="M400" s="14"/>
      <c r="N400" s="17"/>
      <c r="O400" s="17"/>
      <c r="P400" s="17"/>
      <c r="Q400" s="7"/>
    </row>
    <row r="401" spans="3:17" s="2" customFormat="1" ht="15.75" x14ac:dyDescent="0.25">
      <c r="C401" s="1"/>
      <c r="D401" s="1"/>
      <c r="E401" s="1"/>
      <c r="F401" s="1"/>
      <c r="G401" s="15"/>
      <c r="H401" s="1"/>
      <c r="I401" s="20"/>
      <c r="J401" s="20"/>
      <c r="K401" s="14"/>
      <c r="L401" s="20"/>
      <c r="M401" s="14"/>
      <c r="N401" s="17"/>
      <c r="O401" s="17"/>
      <c r="P401" s="17"/>
      <c r="Q401" s="7"/>
    </row>
    <row r="402" spans="3:17" s="2" customFormat="1" ht="15.75" x14ac:dyDescent="0.25">
      <c r="C402" s="1"/>
      <c r="D402" s="1"/>
      <c r="E402" s="1"/>
      <c r="F402" s="1"/>
      <c r="G402" s="15"/>
      <c r="H402" s="1"/>
      <c r="I402" s="20"/>
      <c r="J402" s="20"/>
      <c r="K402" s="14"/>
      <c r="L402" s="20"/>
      <c r="M402" s="14"/>
      <c r="N402" s="17"/>
      <c r="O402" s="17"/>
      <c r="P402" s="17"/>
      <c r="Q402" s="7"/>
    </row>
    <row r="403" spans="3:17" s="2" customFormat="1" ht="15.75" x14ac:dyDescent="0.25">
      <c r="C403" s="1"/>
      <c r="D403" s="1"/>
      <c r="E403" s="1"/>
      <c r="F403" s="1"/>
      <c r="G403" s="15"/>
      <c r="H403" s="1"/>
      <c r="I403" s="20"/>
      <c r="J403" s="20"/>
      <c r="K403" s="14"/>
      <c r="L403" s="20"/>
      <c r="M403" s="14"/>
      <c r="N403" s="17"/>
      <c r="O403" s="17"/>
      <c r="P403" s="17"/>
      <c r="Q403" s="7"/>
    </row>
    <row r="404" spans="3:17" s="2" customFormat="1" ht="15.75" x14ac:dyDescent="0.25">
      <c r="C404" s="1"/>
      <c r="D404" s="1"/>
      <c r="E404" s="1"/>
      <c r="F404" s="1"/>
      <c r="G404" s="15"/>
      <c r="H404" s="1"/>
      <c r="I404" s="20"/>
      <c r="J404" s="20"/>
      <c r="K404" s="14"/>
      <c r="L404" s="20"/>
      <c r="M404" s="14"/>
      <c r="N404" s="17"/>
      <c r="O404" s="17"/>
      <c r="P404" s="17"/>
      <c r="Q404" s="7"/>
    </row>
    <row r="405" spans="3:17" s="2" customFormat="1" ht="15.75" x14ac:dyDescent="0.25">
      <c r="C405" s="1"/>
      <c r="D405" s="1"/>
      <c r="E405" s="1"/>
      <c r="F405" s="1"/>
      <c r="G405" s="15"/>
      <c r="H405" s="1"/>
      <c r="I405" s="20"/>
      <c r="J405" s="20"/>
      <c r="K405" s="14"/>
      <c r="L405" s="20"/>
      <c r="M405" s="14"/>
      <c r="N405" s="17"/>
      <c r="O405" s="17"/>
      <c r="P405" s="17"/>
      <c r="Q405" s="7"/>
    </row>
    <row r="406" spans="3:17" s="2" customFormat="1" ht="15.75" x14ac:dyDescent="0.25">
      <c r="C406" s="1"/>
      <c r="D406" s="1"/>
      <c r="E406" s="1"/>
      <c r="F406" s="1"/>
      <c r="G406" s="15"/>
      <c r="H406" s="1"/>
      <c r="I406" s="20"/>
      <c r="J406" s="20"/>
      <c r="K406" s="14"/>
      <c r="L406" s="20"/>
      <c r="M406" s="14"/>
      <c r="N406" s="17"/>
      <c r="O406" s="17"/>
      <c r="P406" s="17"/>
      <c r="Q406" s="7"/>
    </row>
    <row r="407" spans="3:17" s="2" customFormat="1" ht="15.75" x14ac:dyDescent="0.25">
      <c r="C407" s="1"/>
      <c r="D407" s="1"/>
      <c r="E407" s="1"/>
      <c r="F407" s="1"/>
      <c r="G407" s="15"/>
      <c r="H407" s="1"/>
      <c r="I407" s="20"/>
      <c r="J407" s="20"/>
      <c r="K407" s="14"/>
      <c r="L407" s="20"/>
      <c r="M407" s="14"/>
      <c r="N407" s="17"/>
      <c r="O407" s="17"/>
      <c r="P407" s="17"/>
      <c r="Q407" s="7"/>
    </row>
    <row r="408" spans="3:17" s="2" customFormat="1" ht="15.75" x14ac:dyDescent="0.25">
      <c r="C408" s="1"/>
      <c r="D408" s="1"/>
      <c r="E408" s="1"/>
      <c r="F408" s="1"/>
      <c r="G408" s="15"/>
      <c r="H408" s="1"/>
      <c r="I408" s="20"/>
      <c r="J408" s="20"/>
      <c r="K408" s="14"/>
      <c r="L408" s="20"/>
      <c r="M408" s="14"/>
      <c r="N408" s="17"/>
      <c r="O408" s="17"/>
      <c r="P408" s="17"/>
      <c r="Q408" s="7"/>
    </row>
    <row r="409" spans="3:17" s="2" customFormat="1" ht="15.75" x14ac:dyDescent="0.25">
      <c r="C409" s="1"/>
      <c r="D409" s="1"/>
      <c r="E409" s="1"/>
      <c r="F409" s="1"/>
      <c r="G409" s="15"/>
      <c r="H409" s="1"/>
      <c r="I409" s="20"/>
      <c r="J409" s="20"/>
      <c r="K409" s="14"/>
      <c r="L409" s="20"/>
      <c r="M409" s="14"/>
      <c r="N409" s="17"/>
      <c r="O409" s="17"/>
      <c r="P409" s="17"/>
      <c r="Q409" s="7"/>
    </row>
    <row r="410" spans="3:17" s="2" customFormat="1" ht="15.75" x14ac:dyDescent="0.25">
      <c r="C410" s="1"/>
      <c r="D410" s="1"/>
      <c r="E410" s="1"/>
      <c r="F410" s="1"/>
      <c r="G410" s="15"/>
      <c r="H410" s="1"/>
      <c r="I410" s="20"/>
      <c r="J410" s="20"/>
      <c r="K410" s="14"/>
      <c r="L410" s="20"/>
      <c r="M410" s="14"/>
      <c r="N410" s="17"/>
      <c r="O410" s="17"/>
      <c r="P410" s="17"/>
      <c r="Q410" s="7"/>
    </row>
    <row r="411" spans="3:17" s="2" customFormat="1" ht="15.75" x14ac:dyDescent="0.25">
      <c r="C411" s="1"/>
      <c r="D411" s="1"/>
      <c r="E411" s="1"/>
      <c r="F411" s="1"/>
      <c r="G411" s="15"/>
      <c r="H411" s="1"/>
      <c r="I411" s="20"/>
      <c r="J411" s="20"/>
      <c r="K411" s="14"/>
      <c r="L411" s="20"/>
      <c r="M411" s="14"/>
      <c r="N411" s="17"/>
      <c r="O411" s="17"/>
      <c r="P411" s="17"/>
      <c r="Q411" s="7"/>
    </row>
    <row r="412" spans="3:17" s="2" customFormat="1" ht="15.75" x14ac:dyDescent="0.25">
      <c r="C412" s="1"/>
      <c r="D412" s="1"/>
      <c r="E412" s="1"/>
      <c r="F412" s="1"/>
      <c r="G412" s="15"/>
      <c r="H412" s="1"/>
      <c r="I412" s="20"/>
      <c r="J412" s="20"/>
      <c r="K412" s="14"/>
      <c r="L412" s="20"/>
      <c r="M412" s="14"/>
      <c r="N412" s="17"/>
      <c r="O412" s="17"/>
      <c r="P412" s="17"/>
      <c r="Q412" s="7"/>
    </row>
    <row r="413" spans="3:17" s="2" customFormat="1" ht="15.75" x14ac:dyDescent="0.25">
      <c r="C413" s="1"/>
      <c r="D413" s="1"/>
      <c r="E413" s="1"/>
      <c r="F413" s="1"/>
      <c r="G413" s="15"/>
      <c r="H413" s="1"/>
      <c r="I413" s="20"/>
      <c r="J413" s="20"/>
      <c r="K413" s="14"/>
      <c r="L413" s="20"/>
      <c r="M413" s="14"/>
      <c r="N413" s="17"/>
      <c r="O413" s="17"/>
      <c r="P413" s="17"/>
      <c r="Q413" s="7"/>
    </row>
    <row r="414" spans="3:17" s="2" customFormat="1" ht="15.75" x14ac:dyDescent="0.25">
      <c r="C414" s="1"/>
      <c r="D414" s="1"/>
      <c r="E414" s="1"/>
      <c r="F414" s="1"/>
      <c r="G414" s="15"/>
      <c r="H414" s="1"/>
      <c r="I414" s="20"/>
      <c r="J414" s="20"/>
      <c r="K414" s="14"/>
      <c r="L414" s="20"/>
      <c r="M414" s="14"/>
      <c r="N414" s="17"/>
      <c r="O414" s="17"/>
      <c r="P414" s="17"/>
      <c r="Q414" s="7"/>
    </row>
    <row r="415" spans="3:17" s="2" customFormat="1" ht="15.75" x14ac:dyDescent="0.25">
      <c r="C415" s="1"/>
      <c r="D415" s="1"/>
      <c r="E415" s="1"/>
      <c r="F415" s="1"/>
      <c r="G415" s="15"/>
      <c r="H415" s="1"/>
      <c r="I415" s="20"/>
      <c r="J415" s="20"/>
      <c r="K415" s="14"/>
      <c r="L415" s="20"/>
      <c r="M415" s="14"/>
      <c r="N415" s="17"/>
      <c r="O415" s="17"/>
      <c r="P415" s="17"/>
      <c r="Q415" s="7"/>
    </row>
    <row r="416" spans="3:17" s="2" customFormat="1" ht="15.75" x14ac:dyDescent="0.25">
      <c r="C416" s="1"/>
      <c r="D416" s="1"/>
      <c r="E416" s="1"/>
      <c r="F416" s="1"/>
      <c r="G416" s="15"/>
      <c r="H416" s="1"/>
      <c r="I416" s="20"/>
      <c r="J416" s="20"/>
      <c r="K416" s="14"/>
      <c r="L416" s="20"/>
      <c r="M416" s="14"/>
      <c r="N416" s="17"/>
      <c r="O416" s="17"/>
      <c r="P416" s="17"/>
      <c r="Q416" s="7"/>
    </row>
    <row r="417" spans="3:17" s="2" customFormat="1" ht="15.75" x14ac:dyDescent="0.25">
      <c r="C417" s="1"/>
      <c r="D417" s="1"/>
      <c r="E417" s="1"/>
      <c r="F417" s="1"/>
      <c r="G417" s="15"/>
      <c r="H417" s="1"/>
      <c r="I417" s="20"/>
      <c r="J417" s="20"/>
      <c r="K417" s="14"/>
      <c r="L417" s="20"/>
      <c r="M417" s="14"/>
      <c r="N417" s="17"/>
      <c r="O417" s="17"/>
      <c r="P417" s="17"/>
      <c r="Q417" s="7"/>
    </row>
    <row r="418" spans="3:17" s="2" customFormat="1" ht="15.75" x14ac:dyDescent="0.25">
      <c r="C418" s="1"/>
      <c r="D418" s="1"/>
      <c r="E418" s="1"/>
      <c r="F418" s="1"/>
      <c r="G418" s="15"/>
      <c r="H418" s="1"/>
      <c r="I418" s="20"/>
      <c r="J418" s="20"/>
      <c r="K418" s="14"/>
      <c r="L418" s="20"/>
      <c r="M418" s="14"/>
      <c r="N418" s="17"/>
      <c r="O418" s="17"/>
      <c r="P418" s="17"/>
      <c r="Q418" s="7"/>
    </row>
    <row r="419" spans="3:17" s="2" customFormat="1" ht="15.75" x14ac:dyDescent="0.25">
      <c r="C419" s="1"/>
      <c r="D419" s="1"/>
      <c r="E419" s="1"/>
      <c r="F419" s="1"/>
      <c r="G419" s="15"/>
      <c r="H419" s="1"/>
      <c r="I419" s="20"/>
      <c r="J419" s="20"/>
      <c r="K419" s="14"/>
      <c r="L419" s="20"/>
      <c r="M419" s="14"/>
      <c r="N419" s="17"/>
      <c r="O419" s="17"/>
      <c r="P419" s="17"/>
      <c r="Q419" s="7"/>
    </row>
    <row r="420" spans="3:17" s="2" customFormat="1" ht="15.75" x14ac:dyDescent="0.25">
      <c r="C420" s="1"/>
      <c r="D420" s="1"/>
      <c r="E420" s="1"/>
      <c r="F420" s="1"/>
      <c r="G420" s="15"/>
      <c r="H420" s="1"/>
      <c r="I420" s="20"/>
      <c r="J420" s="20"/>
      <c r="K420" s="14"/>
      <c r="L420" s="20"/>
      <c r="M420" s="14"/>
      <c r="N420" s="17"/>
      <c r="O420" s="17"/>
      <c r="P420" s="17"/>
      <c r="Q420" s="7"/>
    </row>
    <row r="421" spans="3:17" s="2" customFormat="1" ht="15.75" x14ac:dyDescent="0.25">
      <c r="C421" s="1"/>
      <c r="D421" s="1"/>
      <c r="E421" s="1"/>
      <c r="F421" s="1"/>
      <c r="G421" s="15"/>
      <c r="H421" s="1"/>
      <c r="I421" s="20"/>
      <c r="J421" s="20"/>
      <c r="K421" s="14"/>
      <c r="L421" s="20"/>
      <c r="M421" s="14"/>
      <c r="N421" s="17"/>
      <c r="O421" s="17"/>
      <c r="P421" s="17"/>
      <c r="Q421" s="7"/>
    </row>
    <row r="422" spans="3:17" s="2" customFormat="1" ht="15.75" x14ac:dyDescent="0.25">
      <c r="C422" s="1"/>
      <c r="D422" s="1"/>
      <c r="E422" s="1"/>
      <c r="F422" s="1"/>
      <c r="G422" s="15"/>
      <c r="H422" s="1"/>
      <c r="I422" s="20"/>
      <c r="J422" s="20"/>
      <c r="K422" s="14"/>
      <c r="L422" s="20"/>
      <c r="M422" s="14"/>
      <c r="N422" s="17"/>
      <c r="O422" s="17"/>
      <c r="P422" s="17"/>
      <c r="Q422" s="7"/>
    </row>
    <row r="423" spans="3:17" s="2" customFormat="1" ht="15.75" x14ac:dyDescent="0.25">
      <c r="C423" s="1"/>
      <c r="D423" s="1"/>
      <c r="E423" s="1"/>
      <c r="F423" s="1"/>
      <c r="G423" s="15"/>
      <c r="H423" s="1"/>
      <c r="I423" s="20"/>
      <c r="J423" s="20"/>
      <c r="K423" s="14"/>
      <c r="L423" s="20"/>
      <c r="M423" s="14"/>
      <c r="N423" s="17"/>
      <c r="O423" s="17"/>
      <c r="P423" s="17"/>
      <c r="Q423" s="7"/>
    </row>
    <row r="424" spans="3:17" s="2" customFormat="1" ht="15.75" x14ac:dyDescent="0.25">
      <c r="C424" s="1"/>
      <c r="D424" s="1"/>
      <c r="E424" s="1"/>
      <c r="F424" s="1"/>
      <c r="G424" s="15"/>
      <c r="H424" s="1"/>
      <c r="I424" s="20"/>
      <c r="J424" s="20"/>
      <c r="K424" s="14"/>
      <c r="L424" s="20"/>
      <c r="M424" s="14"/>
      <c r="N424" s="17"/>
      <c r="O424" s="17"/>
      <c r="P424" s="17"/>
      <c r="Q424" s="7"/>
    </row>
    <row r="425" spans="3:17" s="2" customFormat="1" ht="15.75" x14ac:dyDescent="0.25">
      <c r="C425" s="1"/>
      <c r="D425" s="1"/>
      <c r="E425" s="1"/>
      <c r="F425" s="1"/>
      <c r="G425" s="15"/>
      <c r="H425" s="1"/>
      <c r="I425" s="20"/>
      <c r="J425" s="20"/>
      <c r="K425" s="14"/>
      <c r="L425" s="20"/>
      <c r="M425" s="14"/>
      <c r="N425" s="17"/>
      <c r="O425" s="17"/>
      <c r="P425" s="17"/>
      <c r="Q425" s="7"/>
    </row>
    <row r="426" spans="3:17" s="2" customFormat="1" ht="15.75" x14ac:dyDescent="0.25">
      <c r="C426" s="1"/>
      <c r="D426" s="1"/>
      <c r="E426" s="1"/>
      <c r="F426" s="1"/>
      <c r="G426" s="15"/>
      <c r="H426" s="1"/>
      <c r="I426" s="20"/>
      <c r="J426" s="20"/>
      <c r="K426" s="14"/>
      <c r="L426" s="20"/>
      <c r="M426" s="14"/>
      <c r="N426" s="17"/>
      <c r="O426" s="17"/>
      <c r="P426" s="17"/>
      <c r="Q426" s="7"/>
    </row>
    <row r="427" spans="3:17" s="2" customFormat="1" ht="15.75" x14ac:dyDescent="0.25">
      <c r="C427" s="1"/>
      <c r="D427" s="1"/>
      <c r="E427" s="1"/>
      <c r="F427" s="1"/>
      <c r="G427" s="15"/>
      <c r="H427" s="1"/>
      <c r="I427" s="20"/>
      <c r="J427" s="20"/>
      <c r="K427" s="14"/>
      <c r="L427" s="20"/>
      <c r="M427" s="14"/>
      <c r="N427" s="17"/>
      <c r="O427" s="17"/>
      <c r="P427" s="17"/>
      <c r="Q427" s="7"/>
    </row>
    <row r="428" spans="3:17" s="2" customFormat="1" ht="15.75" x14ac:dyDescent="0.25">
      <c r="C428" s="1"/>
      <c r="D428" s="1"/>
      <c r="E428" s="1"/>
      <c r="F428" s="1"/>
      <c r="G428" s="15"/>
      <c r="H428" s="1"/>
      <c r="I428" s="20"/>
      <c r="J428" s="20"/>
      <c r="K428" s="14"/>
      <c r="L428" s="20"/>
      <c r="M428" s="14"/>
      <c r="N428" s="17"/>
      <c r="O428" s="17"/>
      <c r="P428" s="17"/>
      <c r="Q428" s="7"/>
    </row>
    <row r="429" spans="3:17" s="2" customFormat="1" ht="15.75" x14ac:dyDescent="0.25">
      <c r="C429" s="1"/>
      <c r="D429" s="1"/>
      <c r="E429" s="1"/>
      <c r="F429" s="1"/>
      <c r="G429" s="15"/>
      <c r="H429" s="1"/>
      <c r="I429" s="20"/>
      <c r="J429" s="20"/>
      <c r="K429" s="14"/>
      <c r="L429" s="20"/>
      <c r="M429" s="14"/>
      <c r="N429" s="17"/>
      <c r="O429" s="17"/>
      <c r="P429" s="17"/>
      <c r="Q429" s="7"/>
    </row>
    <row r="430" spans="3:17" s="2" customFormat="1" ht="15.75" x14ac:dyDescent="0.25">
      <c r="C430" s="1"/>
      <c r="D430" s="1"/>
      <c r="E430" s="1"/>
      <c r="F430" s="1"/>
      <c r="G430" s="15"/>
      <c r="H430" s="1"/>
      <c r="I430" s="20"/>
      <c r="J430" s="20"/>
      <c r="K430" s="14"/>
      <c r="L430" s="20"/>
      <c r="M430" s="14"/>
      <c r="N430" s="17"/>
      <c r="O430" s="17"/>
      <c r="P430" s="17"/>
      <c r="Q430" s="7"/>
    </row>
    <row r="431" spans="3:17" s="2" customFormat="1" ht="15.75" x14ac:dyDescent="0.25">
      <c r="C431" s="1"/>
      <c r="D431" s="1"/>
      <c r="E431" s="1"/>
      <c r="F431" s="1"/>
      <c r="G431" s="15"/>
      <c r="H431" s="1"/>
      <c r="I431" s="20"/>
      <c r="J431" s="20"/>
      <c r="K431" s="14"/>
      <c r="L431" s="20"/>
      <c r="M431" s="14"/>
      <c r="N431" s="17"/>
      <c r="O431" s="17"/>
      <c r="P431" s="17"/>
      <c r="Q431" s="7"/>
    </row>
    <row r="432" spans="3:17" s="2" customFormat="1" ht="15.75" x14ac:dyDescent="0.25">
      <c r="C432" s="1"/>
      <c r="D432" s="1"/>
      <c r="E432" s="1"/>
      <c r="F432" s="1"/>
      <c r="G432" s="15"/>
      <c r="H432" s="1"/>
      <c r="I432" s="20"/>
      <c r="J432" s="20"/>
      <c r="K432" s="14"/>
      <c r="L432" s="20"/>
      <c r="M432" s="14"/>
      <c r="N432" s="17"/>
      <c r="O432" s="17"/>
      <c r="P432" s="17"/>
      <c r="Q432" s="7"/>
    </row>
    <row r="433" spans="3:17" s="2" customFormat="1" ht="15.75" x14ac:dyDescent="0.25">
      <c r="C433" s="1"/>
      <c r="D433" s="1"/>
      <c r="E433" s="1"/>
      <c r="F433" s="1"/>
      <c r="G433" s="15"/>
      <c r="H433" s="1"/>
      <c r="I433" s="20"/>
      <c r="J433" s="20"/>
      <c r="K433" s="14"/>
      <c r="L433" s="20"/>
      <c r="M433" s="14"/>
      <c r="N433" s="17"/>
      <c r="O433" s="17"/>
      <c r="P433" s="17"/>
      <c r="Q433" s="7"/>
    </row>
    <row r="434" spans="3:17" s="2" customFormat="1" ht="15.75" x14ac:dyDescent="0.25">
      <c r="C434" s="1"/>
      <c r="D434" s="1"/>
      <c r="E434" s="1"/>
      <c r="F434" s="1"/>
      <c r="G434" s="15"/>
      <c r="H434" s="1"/>
      <c r="I434" s="20"/>
      <c r="J434" s="20"/>
      <c r="K434" s="14"/>
      <c r="L434" s="20"/>
      <c r="M434" s="14"/>
      <c r="N434" s="17"/>
      <c r="O434" s="17"/>
      <c r="P434" s="17"/>
      <c r="Q434" s="7"/>
    </row>
    <row r="435" spans="3:17" s="2" customFormat="1" ht="15.75" x14ac:dyDescent="0.25">
      <c r="C435" s="1"/>
      <c r="D435" s="1"/>
      <c r="E435" s="1"/>
      <c r="F435" s="1"/>
      <c r="G435" s="15"/>
      <c r="H435" s="1"/>
      <c r="I435" s="20"/>
      <c r="J435" s="20"/>
      <c r="K435" s="14"/>
      <c r="L435" s="20"/>
      <c r="M435" s="14"/>
      <c r="N435" s="17"/>
      <c r="O435" s="17"/>
      <c r="P435" s="17"/>
      <c r="Q435" s="7"/>
    </row>
    <row r="436" spans="3:17" s="2" customFormat="1" ht="15.75" x14ac:dyDescent="0.25">
      <c r="C436" s="1"/>
      <c r="D436" s="1"/>
      <c r="E436" s="1"/>
      <c r="F436" s="1"/>
      <c r="G436" s="15"/>
      <c r="H436" s="1"/>
      <c r="I436" s="20"/>
      <c r="J436" s="20"/>
      <c r="K436" s="14"/>
      <c r="L436" s="20"/>
      <c r="M436" s="14"/>
      <c r="N436" s="17"/>
      <c r="O436" s="17"/>
      <c r="P436" s="17"/>
      <c r="Q436" s="7"/>
    </row>
    <row r="437" spans="3:17" s="2" customFormat="1" ht="15.75" x14ac:dyDescent="0.25">
      <c r="C437" s="1"/>
      <c r="D437" s="1"/>
      <c r="E437" s="1"/>
      <c r="F437" s="1"/>
      <c r="G437" s="15"/>
      <c r="H437" s="1"/>
      <c r="I437" s="20"/>
      <c r="J437" s="20"/>
      <c r="K437" s="14"/>
      <c r="L437" s="20"/>
      <c r="M437" s="14"/>
      <c r="N437" s="17"/>
      <c r="O437" s="17"/>
      <c r="P437" s="17"/>
      <c r="Q437" s="7"/>
    </row>
    <row r="438" spans="3:17" s="2" customFormat="1" ht="15.75" x14ac:dyDescent="0.25">
      <c r="C438" s="1"/>
      <c r="D438" s="1"/>
      <c r="E438" s="1"/>
      <c r="F438" s="1"/>
      <c r="G438" s="15"/>
      <c r="H438" s="1"/>
      <c r="I438" s="20"/>
      <c r="J438" s="20"/>
      <c r="K438" s="14"/>
      <c r="L438" s="20"/>
      <c r="M438" s="14"/>
      <c r="N438" s="17"/>
      <c r="O438" s="17"/>
      <c r="P438" s="17"/>
      <c r="Q438" s="7"/>
    </row>
    <row r="439" spans="3:17" s="2" customFormat="1" ht="15.75" x14ac:dyDescent="0.25">
      <c r="C439" s="1"/>
      <c r="D439" s="1"/>
      <c r="E439" s="1"/>
      <c r="F439" s="1"/>
      <c r="G439" s="15"/>
      <c r="H439" s="1"/>
      <c r="I439" s="20"/>
      <c r="J439" s="20"/>
      <c r="K439" s="14"/>
      <c r="L439" s="20"/>
      <c r="M439" s="14"/>
      <c r="N439" s="17"/>
      <c r="O439" s="17"/>
      <c r="P439" s="17"/>
      <c r="Q439" s="7"/>
    </row>
    <row r="440" spans="3:17" s="2" customFormat="1" ht="15.75" x14ac:dyDescent="0.25">
      <c r="C440" s="1"/>
      <c r="D440" s="1"/>
      <c r="E440" s="1"/>
      <c r="F440" s="1"/>
      <c r="G440" s="15"/>
      <c r="H440" s="1"/>
      <c r="I440" s="20"/>
      <c r="J440" s="20"/>
      <c r="K440" s="14"/>
      <c r="L440" s="20"/>
      <c r="M440" s="14"/>
      <c r="N440" s="17"/>
      <c r="O440" s="17"/>
      <c r="P440" s="17"/>
      <c r="Q440" s="7"/>
    </row>
    <row r="441" spans="3:17" s="2" customFormat="1" ht="15.75" x14ac:dyDescent="0.25">
      <c r="C441" s="1"/>
      <c r="D441" s="1"/>
      <c r="E441" s="1"/>
      <c r="F441" s="1"/>
      <c r="G441" s="15"/>
      <c r="H441" s="1"/>
      <c r="I441" s="20"/>
      <c r="J441" s="20"/>
      <c r="K441" s="14"/>
      <c r="L441" s="20"/>
      <c r="M441" s="14"/>
      <c r="N441" s="17"/>
      <c r="O441" s="17"/>
      <c r="P441" s="17"/>
      <c r="Q441" s="7"/>
    </row>
    <row r="442" spans="3:17" s="2" customFormat="1" ht="15.75" x14ac:dyDescent="0.25">
      <c r="C442" s="1"/>
      <c r="D442" s="1"/>
      <c r="E442" s="1"/>
      <c r="F442" s="1"/>
      <c r="G442" s="15"/>
      <c r="H442" s="1"/>
      <c r="I442" s="20"/>
      <c r="J442" s="20"/>
      <c r="K442" s="14"/>
      <c r="L442" s="20"/>
      <c r="M442" s="14"/>
      <c r="N442" s="17"/>
      <c r="O442" s="17"/>
      <c r="P442" s="17"/>
      <c r="Q442" s="7"/>
    </row>
    <row r="443" spans="3:17" s="2" customFormat="1" ht="15.75" x14ac:dyDescent="0.25">
      <c r="C443" s="1"/>
      <c r="D443" s="1"/>
      <c r="E443" s="1"/>
      <c r="F443" s="1"/>
      <c r="G443" s="15"/>
      <c r="H443" s="1"/>
      <c r="I443" s="20"/>
      <c r="J443" s="20"/>
      <c r="K443" s="14"/>
      <c r="L443" s="20"/>
      <c r="M443" s="14"/>
      <c r="N443" s="17"/>
      <c r="O443" s="17"/>
      <c r="P443" s="17"/>
      <c r="Q443" s="7"/>
    </row>
    <row r="444" spans="3:17" s="2" customFormat="1" ht="15.75" x14ac:dyDescent="0.25">
      <c r="C444" s="1"/>
      <c r="D444" s="1"/>
      <c r="E444" s="1"/>
      <c r="F444" s="1"/>
      <c r="G444" s="15"/>
      <c r="H444" s="1"/>
      <c r="I444" s="20"/>
      <c r="J444" s="20"/>
      <c r="K444" s="14"/>
      <c r="L444" s="20"/>
      <c r="M444" s="14"/>
      <c r="N444" s="17"/>
      <c r="O444" s="17"/>
      <c r="P444" s="17"/>
      <c r="Q444" s="7"/>
    </row>
    <row r="445" spans="3:17" s="2" customFormat="1" ht="15.75" x14ac:dyDescent="0.25">
      <c r="C445" s="1"/>
      <c r="D445" s="1"/>
      <c r="E445" s="1"/>
      <c r="F445" s="1"/>
      <c r="G445" s="15"/>
      <c r="H445" s="1"/>
      <c r="I445" s="20"/>
      <c r="J445" s="20"/>
      <c r="K445" s="14"/>
      <c r="L445" s="20"/>
      <c r="M445" s="14"/>
      <c r="N445" s="17"/>
      <c r="O445" s="17"/>
      <c r="P445" s="17"/>
      <c r="Q445" s="7"/>
    </row>
    <row r="446" spans="3:17" s="2" customFormat="1" ht="15.75" x14ac:dyDescent="0.25">
      <c r="C446" s="1"/>
      <c r="D446" s="1"/>
      <c r="E446" s="1"/>
      <c r="F446" s="1"/>
      <c r="G446" s="15"/>
      <c r="H446" s="1"/>
      <c r="I446" s="20"/>
      <c r="J446" s="20"/>
      <c r="K446" s="14"/>
      <c r="L446" s="20"/>
      <c r="M446" s="14"/>
      <c r="N446" s="17"/>
      <c r="O446" s="17"/>
      <c r="P446" s="17"/>
      <c r="Q446" s="7"/>
    </row>
    <row r="447" spans="3:17" s="2" customFormat="1" ht="15.75" x14ac:dyDescent="0.25">
      <c r="C447" s="1"/>
      <c r="D447" s="1"/>
      <c r="E447" s="1"/>
      <c r="F447" s="1"/>
      <c r="G447" s="15"/>
      <c r="H447" s="1"/>
      <c r="I447" s="20"/>
      <c r="J447" s="20"/>
      <c r="K447" s="14"/>
      <c r="L447" s="20"/>
      <c r="M447" s="14"/>
      <c r="N447" s="17"/>
      <c r="O447" s="17"/>
      <c r="P447" s="17"/>
      <c r="Q447" s="7"/>
    </row>
    <row r="448" spans="3:17" s="2" customFormat="1" ht="15.75" x14ac:dyDescent="0.25">
      <c r="C448" s="1"/>
      <c r="D448" s="1"/>
      <c r="E448" s="1"/>
      <c r="F448" s="1"/>
      <c r="G448" s="15"/>
      <c r="H448" s="1"/>
      <c r="I448" s="20"/>
      <c r="J448" s="20"/>
      <c r="K448" s="14"/>
      <c r="L448" s="20"/>
      <c r="M448" s="14"/>
      <c r="N448" s="17"/>
      <c r="O448" s="17"/>
      <c r="P448" s="17"/>
      <c r="Q448" s="7"/>
    </row>
    <row r="449" spans="3:17" s="2" customFormat="1" ht="15.75" x14ac:dyDescent="0.25">
      <c r="C449" s="1"/>
      <c r="D449" s="1"/>
      <c r="E449" s="1"/>
      <c r="F449" s="1"/>
      <c r="G449" s="15"/>
      <c r="H449" s="1"/>
      <c r="I449" s="20"/>
      <c r="J449" s="20"/>
      <c r="K449" s="14"/>
      <c r="L449" s="20"/>
      <c r="M449" s="14"/>
      <c r="N449" s="17"/>
      <c r="O449" s="17"/>
      <c r="P449" s="17"/>
      <c r="Q449" s="7"/>
    </row>
    <row r="450" spans="3:17" s="2" customFormat="1" ht="15.75" x14ac:dyDescent="0.25">
      <c r="C450" s="1"/>
      <c r="D450" s="1"/>
      <c r="E450" s="1"/>
      <c r="F450" s="1"/>
      <c r="G450" s="15"/>
      <c r="H450" s="1"/>
      <c r="I450" s="20"/>
      <c r="J450" s="20"/>
      <c r="K450" s="14"/>
      <c r="L450" s="20"/>
      <c r="M450" s="14"/>
      <c r="N450" s="17"/>
      <c r="O450" s="17"/>
      <c r="P450" s="17"/>
      <c r="Q450" s="7"/>
    </row>
    <row r="451" spans="3:17" s="2" customFormat="1" ht="15.75" x14ac:dyDescent="0.25">
      <c r="C451" s="1"/>
      <c r="D451" s="1"/>
      <c r="E451" s="1"/>
      <c r="F451" s="1"/>
      <c r="G451" s="15"/>
      <c r="H451" s="1"/>
      <c r="I451" s="20"/>
      <c r="J451" s="20"/>
      <c r="K451" s="14"/>
      <c r="L451" s="20"/>
      <c r="M451" s="14"/>
      <c r="N451" s="17"/>
      <c r="O451" s="17"/>
      <c r="P451" s="17"/>
      <c r="Q451" s="7"/>
    </row>
    <row r="452" spans="3:17" s="2" customFormat="1" ht="15.75" x14ac:dyDescent="0.25">
      <c r="C452" s="1"/>
      <c r="D452" s="1"/>
      <c r="E452" s="1"/>
      <c r="F452" s="1"/>
      <c r="G452" s="15"/>
      <c r="H452" s="1"/>
      <c r="I452" s="20"/>
      <c r="J452" s="20"/>
      <c r="K452" s="14"/>
      <c r="L452" s="20"/>
      <c r="M452" s="14"/>
      <c r="N452" s="17"/>
      <c r="O452" s="17"/>
      <c r="P452" s="17"/>
      <c r="Q452" s="7"/>
    </row>
    <row r="453" spans="3:17" s="2" customFormat="1" ht="15.75" x14ac:dyDescent="0.25">
      <c r="C453" s="1"/>
      <c r="D453" s="1"/>
      <c r="E453" s="1"/>
      <c r="F453" s="1"/>
      <c r="G453" s="15"/>
      <c r="H453" s="1"/>
      <c r="I453" s="20"/>
      <c r="J453" s="20"/>
      <c r="K453" s="14"/>
      <c r="L453" s="20"/>
      <c r="M453" s="14"/>
      <c r="N453" s="17"/>
      <c r="O453" s="17"/>
      <c r="P453" s="17"/>
      <c r="Q453" s="7"/>
    </row>
    <row r="454" spans="3:17" s="2" customFormat="1" ht="15.75" x14ac:dyDescent="0.25">
      <c r="C454" s="1"/>
      <c r="D454" s="1"/>
      <c r="E454" s="1"/>
      <c r="F454" s="1"/>
      <c r="G454" s="15"/>
      <c r="H454" s="1"/>
      <c r="I454" s="20"/>
      <c r="J454" s="20"/>
      <c r="K454" s="14"/>
      <c r="L454" s="20"/>
      <c r="M454" s="14"/>
      <c r="N454" s="17"/>
      <c r="O454" s="17"/>
      <c r="P454" s="17"/>
      <c r="Q454" s="7"/>
    </row>
    <row r="455" spans="3:17" s="2" customFormat="1" ht="15.75" x14ac:dyDescent="0.25">
      <c r="C455" s="1"/>
      <c r="D455" s="1"/>
      <c r="E455" s="1"/>
      <c r="F455" s="1"/>
      <c r="G455" s="15"/>
      <c r="H455" s="1"/>
      <c r="I455" s="20"/>
      <c r="J455" s="20"/>
      <c r="K455" s="14"/>
      <c r="L455" s="20"/>
      <c r="M455" s="14"/>
      <c r="N455" s="17"/>
      <c r="O455" s="17"/>
      <c r="P455" s="17"/>
      <c r="Q455" s="7"/>
    </row>
    <row r="456" spans="3:17" s="2" customFormat="1" ht="15.75" x14ac:dyDescent="0.25">
      <c r="C456" s="1"/>
      <c r="D456" s="1"/>
      <c r="E456" s="1"/>
      <c r="F456" s="1"/>
      <c r="G456" s="15"/>
      <c r="H456" s="1"/>
      <c r="I456" s="20"/>
      <c r="J456" s="20"/>
      <c r="K456" s="14"/>
      <c r="L456" s="20"/>
      <c r="M456" s="14"/>
      <c r="N456" s="17"/>
      <c r="O456" s="17"/>
      <c r="P456" s="17"/>
      <c r="Q456" s="7"/>
    </row>
    <row r="457" spans="3:17" s="2" customFormat="1" ht="15.75" x14ac:dyDescent="0.25">
      <c r="C457" s="1"/>
      <c r="D457" s="1"/>
      <c r="E457" s="1"/>
      <c r="F457" s="1"/>
      <c r="G457" s="15"/>
      <c r="H457" s="1"/>
      <c r="I457" s="20"/>
      <c r="J457" s="20"/>
      <c r="K457" s="14"/>
      <c r="L457" s="20"/>
      <c r="M457" s="14"/>
      <c r="N457" s="17"/>
      <c r="O457" s="17"/>
      <c r="P457" s="17"/>
      <c r="Q457" s="7"/>
    </row>
    <row r="458" spans="3:17" s="2" customFormat="1" ht="15.75" x14ac:dyDescent="0.25">
      <c r="C458" s="1"/>
      <c r="D458" s="1"/>
      <c r="E458" s="1"/>
      <c r="F458" s="1"/>
      <c r="G458" s="15"/>
      <c r="H458" s="1"/>
      <c r="I458" s="20"/>
      <c r="J458" s="20"/>
      <c r="K458" s="14"/>
      <c r="L458" s="20"/>
      <c r="M458" s="14"/>
      <c r="N458" s="17"/>
      <c r="O458" s="17"/>
      <c r="P458" s="17"/>
      <c r="Q458" s="7"/>
    </row>
    <row r="459" spans="3:17" s="2" customFormat="1" ht="15.75" x14ac:dyDescent="0.25">
      <c r="C459" s="1"/>
      <c r="D459" s="1"/>
      <c r="E459" s="1"/>
      <c r="F459" s="1"/>
      <c r="G459" s="15"/>
      <c r="H459" s="1"/>
      <c r="I459" s="20"/>
      <c r="J459" s="20"/>
      <c r="K459" s="14"/>
      <c r="L459" s="20"/>
      <c r="M459" s="14"/>
      <c r="N459" s="17"/>
      <c r="O459" s="17"/>
      <c r="P459" s="17"/>
      <c r="Q459" s="7"/>
    </row>
    <row r="460" spans="3:17" s="2" customFormat="1" ht="15.75" x14ac:dyDescent="0.25">
      <c r="C460" s="1"/>
      <c r="D460" s="1"/>
      <c r="E460" s="1"/>
      <c r="F460" s="1"/>
      <c r="G460" s="15"/>
      <c r="H460" s="1"/>
      <c r="I460" s="20"/>
      <c r="J460" s="20"/>
      <c r="K460" s="14"/>
      <c r="L460" s="20"/>
      <c r="M460" s="14"/>
      <c r="N460" s="17"/>
      <c r="O460" s="17"/>
      <c r="P460" s="17"/>
      <c r="Q460" s="7"/>
    </row>
    <row r="461" spans="3:17" s="2" customFormat="1" ht="15.75" x14ac:dyDescent="0.25">
      <c r="C461" s="1"/>
      <c r="D461" s="1"/>
      <c r="E461" s="1"/>
      <c r="F461" s="1"/>
      <c r="G461" s="15"/>
      <c r="H461" s="1"/>
      <c r="I461" s="20"/>
      <c r="J461" s="20"/>
      <c r="K461" s="14"/>
      <c r="L461" s="20"/>
      <c r="M461" s="14"/>
      <c r="N461" s="17"/>
      <c r="O461" s="17"/>
      <c r="P461" s="17"/>
      <c r="Q461" s="7"/>
    </row>
    <row r="462" spans="3:17" s="2" customFormat="1" ht="15.75" x14ac:dyDescent="0.25">
      <c r="C462" s="1"/>
      <c r="D462" s="1"/>
      <c r="E462" s="1"/>
      <c r="F462" s="1"/>
      <c r="G462" s="15"/>
      <c r="H462" s="1"/>
      <c r="I462" s="20"/>
      <c r="J462" s="20"/>
      <c r="K462" s="14"/>
      <c r="L462" s="20"/>
      <c r="M462" s="14"/>
      <c r="N462" s="17"/>
      <c r="O462" s="17"/>
      <c r="P462" s="17"/>
      <c r="Q462" s="7"/>
    </row>
    <row r="463" spans="3:17" s="2" customFormat="1" ht="15.75" x14ac:dyDescent="0.25">
      <c r="C463" s="1"/>
      <c r="D463" s="1"/>
      <c r="E463" s="1"/>
      <c r="F463" s="1"/>
      <c r="G463" s="15"/>
      <c r="H463" s="1"/>
      <c r="I463" s="20"/>
      <c r="J463" s="20"/>
      <c r="K463" s="14"/>
      <c r="L463" s="20"/>
      <c r="M463" s="14"/>
      <c r="N463" s="17"/>
      <c r="O463" s="17"/>
      <c r="P463" s="17"/>
      <c r="Q463" s="7"/>
    </row>
    <row r="464" spans="3:17" s="2" customFormat="1" ht="15.75" x14ac:dyDescent="0.25">
      <c r="C464" s="1"/>
      <c r="D464" s="1"/>
      <c r="E464" s="1"/>
      <c r="F464" s="1"/>
      <c r="G464" s="15"/>
      <c r="H464" s="1"/>
      <c r="I464" s="20"/>
      <c r="J464" s="20"/>
      <c r="K464" s="14"/>
      <c r="L464" s="20"/>
      <c r="M464" s="14"/>
      <c r="N464" s="17"/>
      <c r="O464" s="17"/>
      <c r="P464" s="17"/>
      <c r="Q464" s="7"/>
    </row>
    <row r="465" spans="3:17" s="2" customFormat="1" ht="15.75" x14ac:dyDescent="0.25">
      <c r="C465" s="1"/>
      <c r="D465" s="1"/>
      <c r="E465" s="1"/>
      <c r="F465" s="1"/>
      <c r="G465" s="15"/>
      <c r="H465" s="1"/>
      <c r="I465" s="20"/>
      <c r="J465" s="20"/>
      <c r="K465" s="14"/>
      <c r="L465" s="20"/>
      <c r="M465" s="14"/>
      <c r="N465" s="17"/>
      <c r="O465" s="17"/>
      <c r="P465" s="17"/>
      <c r="Q465" s="7"/>
    </row>
    <row r="466" spans="3:17" s="2" customFormat="1" ht="15.75" x14ac:dyDescent="0.25">
      <c r="C466" s="1"/>
      <c r="D466" s="1"/>
      <c r="E466" s="1"/>
      <c r="F466" s="1"/>
      <c r="G466" s="15"/>
      <c r="H466" s="1"/>
      <c r="I466" s="20"/>
      <c r="J466" s="20"/>
      <c r="K466" s="14"/>
      <c r="L466" s="20"/>
      <c r="M466" s="14"/>
      <c r="N466" s="17"/>
      <c r="O466" s="17"/>
      <c r="P466" s="17"/>
      <c r="Q466" s="7"/>
    </row>
    <row r="467" spans="3:17" s="2" customFormat="1" ht="15.75" x14ac:dyDescent="0.25">
      <c r="C467" s="1"/>
      <c r="D467" s="1"/>
      <c r="E467" s="1"/>
      <c r="F467" s="1"/>
      <c r="G467" s="15"/>
      <c r="H467" s="1"/>
      <c r="I467" s="20"/>
      <c r="J467" s="20"/>
      <c r="K467" s="14"/>
      <c r="L467" s="20"/>
      <c r="M467" s="14"/>
      <c r="N467" s="17"/>
      <c r="O467" s="17"/>
      <c r="P467" s="17"/>
      <c r="Q467" s="7"/>
    </row>
    <row r="468" spans="3:17" s="2" customFormat="1" ht="15.75" x14ac:dyDescent="0.25">
      <c r="C468" s="1"/>
      <c r="D468" s="1"/>
      <c r="E468" s="1"/>
      <c r="F468" s="1"/>
      <c r="G468" s="15"/>
      <c r="H468" s="1"/>
      <c r="I468" s="20"/>
      <c r="J468" s="20"/>
      <c r="K468" s="14"/>
      <c r="L468" s="20"/>
      <c r="M468" s="14"/>
      <c r="N468" s="17"/>
      <c r="O468" s="17"/>
      <c r="P468" s="17"/>
      <c r="Q468" s="7"/>
    </row>
    <row r="469" spans="3:17" s="2" customFormat="1" ht="15.75" x14ac:dyDescent="0.25">
      <c r="C469" s="1"/>
      <c r="D469" s="1"/>
      <c r="E469" s="1"/>
      <c r="F469" s="1"/>
      <c r="G469" s="15"/>
      <c r="H469" s="1"/>
      <c r="I469" s="20"/>
      <c r="J469" s="20"/>
      <c r="K469" s="14"/>
      <c r="L469" s="20"/>
      <c r="M469" s="14"/>
      <c r="N469" s="17"/>
      <c r="O469" s="17"/>
      <c r="P469" s="17"/>
      <c r="Q469" s="7"/>
    </row>
    <row r="470" spans="3:17" s="2" customFormat="1" ht="15.75" x14ac:dyDescent="0.25">
      <c r="C470" s="1"/>
      <c r="D470" s="1"/>
      <c r="E470" s="1"/>
      <c r="F470" s="1"/>
      <c r="G470" s="15"/>
      <c r="H470" s="1"/>
      <c r="I470" s="20"/>
      <c r="J470" s="20"/>
      <c r="K470" s="14"/>
      <c r="L470" s="20"/>
      <c r="M470" s="14"/>
      <c r="N470" s="17"/>
      <c r="O470" s="17"/>
      <c r="P470" s="17"/>
      <c r="Q470" s="7"/>
    </row>
    <row r="471" spans="3:17" s="2" customFormat="1" ht="15.75" x14ac:dyDescent="0.25">
      <c r="C471" s="1"/>
      <c r="D471" s="1"/>
      <c r="E471" s="1"/>
      <c r="F471" s="1"/>
      <c r="G471" s="15"/>
      <c r="H471" s="1"/>
      <c r="I471" s="20"/>
      <c r="J471" s="20"/>
      <c r="K471" s="14"/>
      <c r="L471" s="20"/>
      <c r="M471" s="14"/>
      <c r="N471" s="17"/>
      <c r="O471" s="17"/>
      <c r="P471" s="17"/>
      <c r="Q471" s="7"/>
    </row>
    <row r="472" spans="3:17" s="2" customFormat="1" ht="15.75" x14ac:dyDescent="0.25">
      <c r="C472" s="1"/>
      <c r="D472" s="1"/>
      <c r="E472" s="1"/>
      <c r="F472" s="1"/>
      <c r="G472" s="15"/>
      <c r="H472" s="1"/>
      <c r="I472" s="20"/>
      <c r="J472" s="20"/>
      <c r="K472" s="14"/>
      <c r="L472" s="20"/>
      <c r="M472" s="14"/>
      <c r="N472" s="17"/>
      <c r="O472" s="17"/>
      <c r="P472" s="17"/>
      <c r="Q472" s="7"/>
    </row>
    <row r="473" spans="3:17" s="2" customFormat="1" ht="15.75" x14ac:dyDescent="0.25">
      <c r="C473" s="1"/>
      <c r="D473" s="1"/>
      <c r="E473" s="1"/>
      <c r="F473" s="1"/>
      <c r="G473" s="15"/>
      <c r="H473" s="1"/>
      <c r="I473" s="20"/>
      <c r="J473" s="20"/>
      <c r="K473" s="14"/>
      <c r="L473" s="20"/>
      <c r="M473" s="14"/>
      <c r="N473" s="17"/>
      <c r="O473" s="17"/>
      <c r="P473" s="17"/>
      <c r="Q473" s="7"/>
    </row>
    <row r="474" spans="3:17" s="2" customFormat="1" ht="15.75" x14ac:dyDescent="0.25">
      <c r="C474" s="1"/>
      <c r="D474" s="1"/>
      <c r="E474" s="1"/>
      <c r="F474" s="1"/>
      <c r="G474" s="15"/>
      <c r="H474" s="1"/>
      <c r="I474" s="20"/>
      <c r="J474" s="20"/>
      <c r="K474" s="14"/>
      <c r="L474" s="20"/>
      <c r="M474" s="14"/>
      <c r="N474" s="17"/>
      <c r="O474" s="17"/>
      <c r="P474" s="17"/>
      <c r="Q474" s="7"/>
    </row>
    <row r="475" spans="3:17" s="2" customFormat="1" ht="15.75" x14ac:dyDescent="0.25">
      <c r="C475" s="1"/>
      <c r="D475" s="1"/>
      <c r="E475" s="1"/>
      <c r="F475" s="1"/>
      <c r="G475" s="15"/>
      <c r="H475" s="1"/>
      <c r="I475" s="20"/>
      <c r="J475" s="20"/>
      <c r="K475" s="14"/>
      <c r="L475" s="20"/>
      <c r="M475" s="14"/>
      <c r="N475" s="17"/>
      <c r="O475" s="17"/>
      <c r="P475" s="17"/>
      <c r="Q475" s="7"/>
    </row>
    <row r="476" spans="3:17" s="2" customFormat="1" ht="15.75" x14ac:dyDescent="0.25">
      <c r="C476" s="1"/>
      <c r="D476" s="1"/>
      <c r="E476" s="1"/>
      <c r="F476" s="1"/>
      <c r="G476" s="15"/>
      <c r="H476" s="1"/>
      <c r="I476" s="20"/>
      <c r="J476" s="20"/>
      <c r="K476" s="14"/>
      <c r="L476" s="20"/>
      <c r="M476" s="14"/>
      <c r="N476" s="17"/>
      <c r="O476" s="17"/>
      <c r="P476" s="17"/>
      <c r="Q476" s="7"/>
    </row>
    <row r="477" spans="3:17" s="2" customFormat="1" ht="15.75" x14ac:dyDescent="0.25">
      <c r="C477" s="1"/>
      <c r="D477" s="1"/>
      <c r="E477" s="1"/>
      <c r="F477" s="1"/>
      <c r="G477" s="15"/>
      <c r="H477" s="1"/>
      <c r="I477" s="20"/>
      <c r="J477" s="20"/>
      <c r="K477" s="14"/>
      <c r="L477" s="20"/>
      <c r="M477" s="14"/>
      <c r="N477" s="17"/>
      <c r="O477" s="17"/>
      <c r="P477" s="17"/>
      <c r="Q477" s="7"/>
    </row>
    <row r="478" spans="3:17" s="2" customFormat="1" ht="15.75" x14ac:dyDescent="0.25">
      <c r="C478" s="1"/>
      <c r="D478" s="1"/>
      <c r="E478" s="1"/>
      <c r="F478" s="1"/>
      <c r="G478" s="15"/>
      <c r="H478" s="1"/>
      <c r="I478" s="20"/>
      <c r="J478" s="20"/>
      <c r="K478" s="14"/>
      <c r="L478" s="20"/>
      <c r="M478" s="14"/>
      <c r="N478" s="17"/>
      <c r="O478" s="17"/>
      <c r="P478" s="17"/>
      <c r="Q478" s="7"/>
    </row>
    <row r="479" spans="3:17" s="2" customFormat="1" ht="15.75" x14ac:dyDescent="0.25">
      <c r="C479" s="1"/>
      <c r="D479" s="1"/>
      <c r="E479" s="1"/>
      <c r="F479" s="1"/>
      <c r="G479" s="15"/>
      <c r="H479" s="1"/>
      <c r="I479" s="20"/>
      <c r="J479" s="20"/>
      <c r="K479" s="14"/>
      <c r="L479" s="20"/>
      <c r="M479" s="14"/>
      <c r="N479" s="17"/>
      <c r="O479" s="17"/>
      <c r="P479" s="17"/>
      <c r="Q479" s="7"/>
    </row>
    <row r="480" spans="3:17" s="2" customFormat="1" ht="15.75" x14ac:dyDescent="0.25">
      <c r="C480" s="1"/>
      <c r="D480" s="1"/>
      <c r="E480" s="1"/>
      <c r="F480" s="1"/>
      <c r="G480" s="15"/>
      <c r="H480" s="1"/>
      <c r="I480" s="20"/>
      <c r="J480" s="20"/>
      <c r="K480" s="14"/>
      <c r="L480" s="20"/>
      <c r="M480" s="14"/>
      <c r="N480" s="17"/>
      <c r="O480" s="17"/>
      <c r="P480" s="17"/>
      <c r="Q480" s="7"/>
    </row>
    <row r="481" spans="3:17" s="2" customFormat="1" ht="15.75" x14ac:dyDescent="0.25">
      <c r="C481" s="1"/>
      <c r="D481" s="1"/>
      <c r="E481" s="1"/>
      <c r="F481" s="1"/>
      <c r="G481" s="15"/>
      <c r="H481" s="1"/>
      <c r="I481" s="20"/>
      <c r="J481" s="20"/>
      <c r="K481" s="14"/>
      <c r="L481" s="20"/>
      <c r="M481" s="14"/>
      <c r="N481" s="17"/>
      <c r="O481" s="17"/>
      <c r="P481" s="17"/>
      <c r="Q481" s="7"/>
    </row>
    <row r="482" spans="3:17" s="2" customFormat="1" ht="15.75" x14ac:dyDescent="0.25">
      <c r="C482" s="1"/>
      <c r="D482" s="1"/>
      <c r="E482" s="1"/>
      <c r="F482" s="1"/>
      <c r="G482" s="15"/>
      <c r="H482" s="1"/>
      <c r="I482" s="20"/>
      <c r="J482" s="20"/>
      <c r="K482" s="14"/>
      <c r="L482" s="20"/>
      <c r="M482" s="14"/>
      <c r="N482" s="17"/>
      <c r="O482" s="17"/>
      <c r="P482" s="17"/>
      <c r="Q482" s="7"/>
    </row>
    <row r="483" spans="3:17" s="2" customFormat="1" ht="15.75" x14ac:dyDescent="0.25">
      <c r="C483" s="1"/>
      <c r="D483" s="1"/>
      <c r="E483" s="1"/>
      <c r="F483" s="1"/>
      <c r="G483" s="15"/>
      <c r="H483" s="1"/>
      <c r="I483" s="20"/>
      <c r="J483" s="20"/>
      <c r="K483" s="14"/>
      <c r="L483" s="20"/>
      <c r="M483" s="14"/>
      <c r="N483" s="17"/>
      <c r="O483" s="17"/>
      <c r="P483" s="17"/>
      <c r="Q483" s="7"/>
    </row>
    <row r="484" spans="3:17" s="2" customFormat="1" ht="15.75" x14ac:dyDescent="0.25">
      <c r="C484" s="1"/>
      <c r="D484" s="1"/>
      <c r="E484" s="1"/>
      <c r="F484" s="1"/>
      <c r="G484" s="15"/>
      <c r="H484" s="1"/>
      <c r="I484" s="20"/>
      <c r="J484" s="20"/>
      <c r="K484" s="14"/>
      <c r="L484" s="20"/>
      <c r="M484" s="14"/>
      <c r="N484" s="17"/>
      <c r="O484" s="17"/>
      <c r="P484" s="17"/>
      <c r="Q484" s="7"/>
    </row>
    <row r="485" spans="3:17" s="2" customFormat="1" ht="15.75" x14ac:dyDescent="0.25">
      <c r="C485" s="1"/>
      <c r="D485" s="1"/>
      <c r="E485" s="1"/>
      <c r="F485" s="1"/>
      <c r="G485" s="15"/>
      <c r="H485" s="1"/>
      <c r="I485" s="20"/>
      <c r="J485" s="20"/>
      <c r="K485" s="14"/>
      <c r="L485" s="20"/>
      <c r="M485" s="14"/>
      <c r="N485" s="17"/>
      <c r="O485" s="17"/>
      <c r="P485" s="17"/>
      <c r="Q485" s="7"/>
    </row>
    <row r="486" spans="3:17" s="2" customFormat="1" ht="15.75" x14ac:dyDescent="0.25">
      <c r="C486" s="1"/>
      <c r="D486" s="1"/>
      <c r="E486" s="1"/>
      <c r="F486" s="1"/>
      <c r="G486" s="15"/>
      <c r="H486" s="1"/>
      <c r="I486" s="20"/>
      <c r="J486" s="20"/>
      <c r="K486" s="14"/>
      <c r="L486" s="20"/>
      <c r="M486" s="14"/>
      <c r="N486" s="17"/>
      <c r="O486" s="17"/>
      <c r="P486" s="17"/>
      <c r="Q486" s="7"/>
    </row>
    <row r="487" spans="3:17" s="2" customFormat="1" ht="15.75" x14ac:dyDescent="0.25">
      <c r="C487" s="1"/>
      <c r="D487" s="1"/>
      <c r="E487" s="1"/>
      <c r="F487" s="1"/>
      <c r="G487" s="15"/>
      <c r="H487" s="1"/>
      <c r="I487" s="20"/>
      <c r="J487" s="20"/>
      <c r="K487" s="14"/>
      <c r="L487" s="20"/>
      <c r="M487" s="14"/>
      <c r="N487" s="17"/>
      <c r="O487" s="17"/>
      <c r="P487" s="17"/>
      <c r="Q487" s="7"/>
    </row>
    <row r="488" spans="3:17" s="2" customFormat="1" ht="15.75" x14ac:dyDescent="0.25">
      <c r="C488" s="1"/>
      <c r="D488" s="1"/>
      <c r="E488" s="1"/>
      <c r="F488" s="1"/>
      <c r="G488" s="15"/>
      <c r="H488" s="1"/>
      <c r="I488" s="20"/>
      <c r="J488" s="20"/>
      <c r="K488" s="14"/>
      <c r="L488" s="20"/>
      <c r="M488" s="14"/>
      <c r="N488" s="17"/>
      <c r="O488" s="17"/>
      <c r="P488" s="17"/>
      <c r="Q488" s="7"/>
    </row>
    <row r="489" spans="3:17" s="2" customFormat="1" ht="15.75" x14ac:dyDescent="0.25">
      <c r="C489" s="1"/>
      <c r="D489" s="1"/>
      <c r="E489" s="1"/>
      <c r="F489" s="1"/>
      <c r="G489" s="15"/>
      <c r="H489" s="1"/>
      <c r="I489" s="20"/>
      <c r="J489" s="20"/>
      <c r="K489" s="14"/>
      <c r="L489" s="20"/>
      <c r="M489" s="14"/>
      <c r="N489" s="17"/>
      <c r="O489" s="17"/>
      <c r="P489" s="17"/>
      <c r="Q489" s="7"/>
    </row>
    <row r="490" spans="3:17" s="2" customFormat="1" ht="15.75" x14ac:dyDescent="0.25">
      <c r="C490" s="1"/>
      <c r="D490" s="1"/>
      <c r="E490" s="1"/>
      <c r="F490" s="1"/>
      <c r="G490" s="15"/>
      <c r="H490" s="1"/>
      <c r="I490" s="20"/>
      <c r="J490" s="20"/>
      <c r="K490" s="14"/>
      <c r="L490" s="20"/>
      <c r="M490" s="14"/>
      <c r="N490" s="17"/>
      <c r="O490" s="17"/>
      <c r="P490" s="17"/>
      <c r="Q490" s="7"/>
    </row>
    <row r="491" spans="3:17" s="2" customFormat="1" ht="15.75" x14ac:dyDescent="0.25">
      <c r="C491" s="1"/>
      <c r="D491" s="1"/>
      <c r="E491" s="1"/>
      <c r="F491" s="1"/>
      <c r="G491" s="15"/>
      <c r="H491" s="1"/>
      <c r="I491" s="20"/>
      <c r="J491" s="20"/>
      <c r="K491" s="14"/>
      <c r="L491" s="20"/>
      <c r="M491" s="14"/>
      <c r="N491" s="17"/>
      <c r="O491" s="17"/>
      <c r="P491" s="17"/>
      <c r="Q491" s="7"/>
    </row>
    <row r="492" spans="3:17" s="2" customFormat="1" ht="15.75" x14ac:dyDescent="0.25">
      <c r="C492" s="1"/>
      <c r="D492" s="1"/>
      <c r="E492" s="1"/>
      <c r="F492" s="1"/>
      <c r="G492" s="15"/>
      <c r="H492" s="1"/>
      <c r="I492" s="20"/>
      <c r="J492" s="20"/>
      <c r="K492" s="14"/>
      <c r="L492" s="20"/>
      <c r="M492" s="14"/>
      <c r="N492" s="17"/>
      <c r="O492" s="17"/>
      <c r="P492" s="17"/>
      <c r="Q492" s="7"/>
    </row>
    <row r="493" spans="3:17" s="2" customFormat="1" ht="15.75" x14ac:dyDescent="0.25">
      <c r="C493" s="1"/>
      <c r="D493" s="1"/>
      <c r="E493" s="1"/>
      <c r="F493" s="1"/>
      <c r="G493" s="15"/>
      <c r="H493" s="1"/>
      <c r="I493" s="20"/>
      <c r="J493" s="20"/>
      <c r="K493" s="14"/>
      <c r="L493" s="20"/>
      <c r="M493" s="14"/>
      <c r="N493" s="17"/>
      <c r="O493" s="17"/>
      <c r="P493" s="17"/>
      <c r="Q493" s="7"/>
    </row>
    <row r="494" spans="3:17" s="2" customFormat="1" ht="15.75" x14ac:dyDescent="0.25">
      <c r="C494" s="1"/>
      <c r="D494" s="1"/>
      <c r="E494" s="1"/>
      <c r="F494" s="1"/>
      <c r="G494" s="15"/>
      <c r="H494" s="1"/>
      <c r="I494" s="20"/>
      <c r="J494" s="20"/>
      <c r="K494" s="14"/>
      <c r="L494" s="20"/>
      <c r="M494" s="14"/>
      <c r="N494" s="17"/>
      <c r="O494" s="17"/>
      <c r="P494" s="17"/>
      <c r="Q494" s="7"/>
    </row>
    <row r="495" spans="3:17" s="2" customFormat="1" ht="15.75" x14ac:dyDescent="0.25">
      <c r="C495" s="1"/>
      <c r="D495" s="1"/>
      <c r="E495" s="1"/>
      <c r="F495" s="1"/>
      <c r="G495" s="15"/>
      <c r="H495" s="1"/>
      <c r="I495" s="20"/>
      <c r="J495" s="20"/>
      <c r="K495" s="14"/>
      <c r="L495" s="20"/>
      <c r="M495" s="14"/>
      <c r="N495" s="17"/>
      <c r="O495" s="17"/>
      <c r="P495" s="17"/>
      <c r="Q495" s="7"/>
    </row>
    <row r="496" spans="3:17" s="2" customFormat="1" ht="15.75" x14ac:dyDescent="0.25">
      <c r="C496" s="1"/>
      <c r="D496" s="1"/>
      <c r="E496" s="1"/>
      <c r="F496" s="1"/>
      <c r="G496" s="15"/>
      <c r="H496" s="1"/>
      <c r="I496" s="20"/>
      <c r="J496" s="20"/>
      <c r="K496" s="14"/>
      <c r="L496" s="20"/>
      <c r="M496" s="14"/>
      <c r="N496" s="17"/>
      <c r="O496" s="17"/>
      <c r="P496" s="17"/>
      <c r="Q496" s="7"/>
    </row>
    <row r="497" spans="3:17" s="2" customFormat="1" ht="15.75" x14ac:dyDescent="0.25">
      <c r="C497" s="1"/>
      <c r="D497" s="1"/>
      <c r="E497" s="1"/>
      <c r="F497" s="1"/>
      <c r="G497" s="15"/>
      <c r="H497" s="1"/>
      <c r="I497" s="20"/>
      <c r="J497" s="20"/>
      <c r="K497" s="14"/>
      <c r="L497" s="20"/>
      <c r="M497" s="14"/>
      <c r="N497" s="17"/>
      <c r="O497" s="17"/>
      <c r="P497" s="17"/>
      <c r="Q497" s="7"/>
    </row>
    <row r="498" spans="3:17" s="2" customFormat="1" ht="15.75" x14ac:dyDescent="0.25">
      <c r="C498" s="1"/>
      <c r="D498" s="1"/>
      <c r="E498" s="1"/>
      <c r="F498" s="1"/>
      <c r="G498" s="15"/>
      <c r="H498" s="1"/>
      <c r="I498" s="20"/>
      <c r="J498" s="20"/>
      <c r="K498" s="14"/>
      <c r="L498" s="20"/>
      <c r="M498" s="14"/>
      <c r="N498" s="17"/>
      <c r="O498" s="17"/>
      <c r="P498" s="17"/>
      <c r="Q498" s="7"/>
    </row>
    <row r="499" spans="3:17" s="2" customFormat="1" ht="15.75" x14ac:dyDescent="0.25">
      <c r="C499" s="1"/>
      <c r="D499" s="1"/>
      <c r="E499" s="1"/>
      <c r="F499" s="1"/>
      <c r="G499" s="15"/>
      <c r="H499" s="1"/>
      <c r="I499" s="20"/>
      <c r="J499" s="20"/>
      <c r="K499" s="14"/>
      <c r="L499" s="20"/>
      <c r="M499" s="14"/>
      <c r="N499" s="17"/>
      <c r="O499" s="17"/>
      <c r="P499" s="17"/>
      <c r="Q499" s="7"/>
    </row>
    <row r="500" spans="3:17" s="2" customFormat="1" ht="15.75" x14ac:dyDescent="0.25">
      <c r="C500" s="1"/>
      <c r="D500" s="1"/>
      <c r="E500" s="1"/>
      <c r="F500" s="1"/>
      <c r="G500" s="15"/>
      <c r="H500" s="1"/>
      <c r="I500" s="20"/>
      <c r="J500" s="20"/>
      <c r="K500" s="14"/>
      <c r="L500" s="20"/>
      <c r="M500" s="14"/>
      <c r="N500" s="17"/>
      <c r="O500" s="17"/>
      <c r="P500" s="17"/>
      <c r="Q500" s="7"/>
    </row>
    <row r="501" spans="3:17" s="2" customFormat="1" ht="15.75" x14ac:dyDescent="0.25">
      <c r="C501" s="1"/>
      <c r="D501" s="1"/>
      <c r="E501" s="1"/>
      <c r="F501" s="1"/>
      <c r="G501" s="15"/>
      <c r="H501" s="1"/>
      <c r="I501" s="20"/>
      <c r="J501" s="20"/>
      <c r="K501" s="14"/>
      <c r="L501" s="20"/>
      <c r="M501" s="14"/>
      <c r="N501" s="17"/>
      <c r="O501" s="17"/>
      <c r="P501" s="17"/>
      <c r="Q501" s="7"/>
    </row>
    <row r="502" spans="3:17" s="2" customFormat="1" ht="15.75" x14ac:dyDescent="0.25">
      <c r="C502" s="1"/>
      <c r="D502" s="1"/>
      <c r="E502" s="1"/>
      <c r="F502" s="1"/>
      <c r="G502" s="15"/>
      <c r="H502" s="1"/>
      <c r="I502" s="20"/>
      <c r="J502" s="20"/>
      <c r="K502" s="14"/>
      <c r="L502" s="20"/>
      <c r="M502" s="14"/>
      <c r="N502" s="17"/>
      <c r="O502" s="17"/>
      <c r="P502" s="17"/>
      <c r="Q502" s="7"/>
    </row>
    <row r="503" spans="3:17" s="2" customFormat="1" ht="15.75" x14ac:dyDescent="0.25">
      <c r="C503" s="1"/>
      <c r="D503" s="1"/>
      <c r="E503" s="1"/>
      <c r="F503" s="1"/>
      <c r="G503" s="15"/>
      <c r="H503" s="1"/>
      <c r="I503" s="20"/>
      <c r="J503" s="20"/>
      <c r="K503" s="14"/>
      <c r="L503" s="20"/>
      <c r="M503" s="14"/>
      <c r="N503" s="17"/>
      <c r="O503" s="17"/>
      <c r="P503" s="17"/>
      <c r="Q503" s="7"/>
    </row>
    <row r="504" spans="3:17" s="2" customFormat="1" ht="15.75" x14ac:dyDescent="0.25">
      <c r="C504" s="1"/>
      <c r="D504" s="1"/>
      <c r="E504" s="1"/>
      <c r="F504" s="1"/>
      <c r="G504" s="15"/>
      <c r="H504" s="1"/>
      <c r="I504" s="20"/>
      <c r="J504" s="20"/>
      <c r="K504" s="14"/>
      <c r="L504" s="20"/>
      <c r="M504" s="14"/>
      <c r="N504" s="17"/>
      <c r="O504" s="17"/>
      <c r="P504" s="17"/>
      <c r="Q504" s="7"/>
    </row>
    <row r="505" spans="3:17" s="2" customFormat="1" ht="15.75" x14ac:dyDescent="0.25">
      <c r="C505" s="1"/>
      <c r="D505" s="1"/>
      <c r="E505" s="1"/>
      <c r="F505" s="1"/>
      <c r="G505" s="15"/>
      <c r="H505" s="1"/>
      <c r="I505" s="20"/>
      <c r="J505" s="20"/>
      <c r="K505" s="14"/>
      <c r="L505" s="20"/>
      <c r="M505" s="14"/>
      <c r="N505" s="17"/>
      <c r="O505" s="17"/>
      <c r="P505" s="17"/>
      <c r="Q505" s="7"/>
    </row>
    <row r="506" spans="3:17" s="2" customFormat="1" ht="15.75" x14ac:dyDescent="0.25">
      <c r="C506" s="1"/>
      <c r="D506" s="1"/>
      <c r="E506" s="1"/>
      <c r="F506" s="1"/>
      <c r="G506" s="15"/>
      <c r="H506" s="1"/>
      <c r="I506" s="20"/>
      <c r="J506" s="20"/>
      <c r="K506" s="14"/>
      <c r="L506" s="20"/>
      <c r="M506" s="14"/>
      <c r="N506" s="17"/>
      <c r="O506" s="17"/>
      <c r="P506" s="17"/>
      <c r="Q506" s="7"/>
    </row>
    <row r="507" spans="3:17" s="2" customFormat="1" ht="15.75" x14ac:dyDescent="0.25">
      <c r="C507" s="1"/>
      <c r="D507" s="1"/>
      <c r="E507" s="1"/>
      <c r="F507" s="1"/>
      <c r="G507" s="15"/>
      <c r="H507" s="1"/>
      <c r="I507" s="20"/>
      <c r="J507" s="20"/>
      <c r="K507" s="14"/>
      <c r="L507" s="20"/>
      <c r="M507" s="14"/>
      <c r="N507" s="17"/>
      <c r="O507" s="17"/>
      <c r="P507" s="17"/>
      <c r="Q507" s="7"/>
    </row>
    <row r="508" spans="3:17" s="2" customFormat="1" ht="15.75" x14ac:dyDescent="0.25">
      <c r="C508" s="1"/>
      <c r="D508" s="1"/>
      <c r="E508" s="1"/>
      <c r="F508" s="1"/>
      <c r="G508" s="15"/>
      <c r="H508" s="1"/>
      <c r="I508" s="20"/>
      <c r="J508" s="20"/>
      <c r="K508" s="14"/>
      <c r="L508" s="20"/>
      <c r="M508" s="14"/>
      <c r="N508" s="17"/>
      <c r="O508" s="17"/>
      <c r="P508" s="17"/>
      <c r="Q508" s="7"/>
    </row>
    <row r="509" spans="3:17" s="2" customFormat="1" ht="15.75" x14ac:dyDescent="0.25">
      <c r="C509" s="1"/>
      <c r="D509" s="1"/>
      <c r="E509" s="1"/>
      <c r="F509" s="1"/>
      <c r="G509" s="15"/>
      <c r="H509" s="1"/>
      <c r="I509" s="20"/>
      <c r="J509" s="20"/>
      <c r="K509" s="14"/>
      <c r="L509" s="20"/>
      <c r="M509" s="14"/>
      <c r="N509" s="17"/>
      <c r="O509" s="17"/>
      <c r="P509" s="17"/>
      <c r="Q509" s="7"/>
    </row>
    <row r="510" spans="3:17" s="2" customFormat="1" ht="15.75" x14ac:dyDescent="0.25">
      <c r="C510" s="1"/>
      <c r="D510" s="1"/>
      <c r="E510" s="1"/>
      <c r="F510" s="1"/>
      <c r="G510" s="15"/>
      <c r="H510" s="1"/>
      <c r="I510" s="20"/>
      <c r="J510" s="20"/>
      <c r="K510" s="14"/>
      <c r="L510" s="20"/>
      <c r="M510" s="14"/>
      <c r="N510" s="17"/>
      <c r="O510" s="17"/>
      <c r="P510" s="17"/>
      <c r="Q510" s="7"/>
    </row>
    <row r="511" spans="3:17" s="2" customFormat="1" ht="15.75" x14ac:dyDescent="0.25">
      <c r="C511" s="1"/>
      <c r="D511" s="1"/>
      <c r="E511" s="1"/>
      <c r="F511" s="1"/>
      <c r="G511" s="15"/>
      <c r="H511" s="1"/>
      <c r="I511" s="20"/>
      <c r="J511" s="20"/>
      <c r="K511" s="14"/>
      <c r="L511" s="20"/>
      <c r="M511" s="14"/>
      <c r="N511" s="17"/>
      <c r="O511" s="17"/>
      <c r="P511" s="17"/>
      <c r="Q511" s="7"/>
    </row>
    <row r="512" spans="3:17" s="2" customFormat="1" ht="15.75" x14ac:dyDescent="0.25">
      <c r="C512" s="1"/>
      <c r="D512" s="1"/>
      <c r="E512" s="1"/>
      <c r="F512" s="1"/>
      <c r="G512" s="15"/>
      <c r="H512" s="1"/>
      <c r="I512" s="20"/>
      <c r="J512" s="20"/>
      <c r="K512" s="14"/>
      <c r="L512" s="20"/>
      <c r="M512" s="14"/>
      <c r="N512" s="17"/>
      <c r="O512" s="17"/>
      <c r="P512" s="17"/>
      <c r="Q512" s="7"/>
    </row>
    <row r="513" spans="3:17" s="2" customFormat="1" ht="15.75" x14ac:dyDescent="0.25">
      <c r="C513" s="1"/>
      <c r="D513" s="1"/>
      <c r="E513" s="1"/>
      <c r="F513" s="1"/>
      <c r="G513" s="15"/>
      <c r="H513" s="1"/>
      <c r="I513" s="20"/>
      <c r="J513" s="20"/>
      <c r="K513" s="14"/>
      <c r="L513" s="20"/>
      <c r="M513" s="14"/>
      <c r="N513" s="17"/>
      <c r="O513" s="17"/>
      <c r="P513" s="17"/>
      <c r="Q513" s="7"/>
    </row>
    <row r="514" spans="3:17" s="2" customFormat="1" ht="15.75" x14ac:dyDescent="0.25">
      <c r="C514" s="1"/>
      <c r="D514" s="1"/>
      <c r="E514" s="1"/>
      <c r="F514" s="1"/>
      <c r="G514" s="15"/>
      <c r="H514" s="1"/>
      <c r="I514" s="20"/>
      <c r="J514" s="20"/>
      <c r="K514" s="14"/>
      <c r="L514" s="20"/>
      <c r="M514" s="14"/>
      <c r="N514" s="17"/>
      <c r="O514" s="17"/>
      <c r="P514" s="17"/>
      <c r="Q514" s="7"/>
    </row>
    <row r="515" spans="3:17" s="2" customFormat="1" ht="15.75" x14ac:dyDescent="0.25">
      <c r="C515" s="1"/>
      <c r="D515" s="1"/>
      <c r="E515" s="1"/>
      <c r="F515" s="1"/>
      <c r="G515" s="15"/>
      <c r="H515" s="1"/>
      <c r="I515" s="20"/>
      <c r="J515" s="20"/>
      <c r="K515" s="14"/>
      <c r="L515" s="20"/>
      <c r="M515" s="14"/>
      <c r="N515" s="17"/>
      <c r="O515" s="17"/>
      <c r="P515" s="17"/>
      <c r="Q515" s="7"/>
    </row>
    <row r="516" spans="3:17" s="2" customFormat="1" ht="15.75" x14ac:dyDescent="0.25">
      <c r="C516" s="1"/>
      <c r="D516" s="1"/>
      <c r="E516" s="1"/>
      <c r="F516" s="1"/>
      <c r="G516" s="15"/>
      <c r="H516" s="1"/>
      <c r="I516" s="20"/>
      <c r="J516" s="20"/>
      <c r="K516" s="14"/>
      <c r="L516" s="20"/>
      <c r="M516" s="14"/>
      <c r="N516" s="17"/>
      <c r="O516" s="17"/>
      <c r="P516" s="17"/>
      <c r="Q516" s="7"/>
    </row>
    <row r="517" spans="3:17" s="2" customFormat="1" ht="15.75" x14ac:dyDescent="0.25">
      <c r="C517" s="1"/>
      <c r="D517" s="1"/>
      <c r="E517" s="1"/>
      <c r="F517" s="1"/>
      <c r="G517" s="15"/>
      <c r="H517" s="1"/>
      <c r="I517" s="20"/>
      <c r="J517" s="20"/>
      <c r="K517" s="14"/>
      <c r="L517" s="20"/>
      <c r="M517" s="14"/>
      <c r="N517" s="17"/>
      <c r="O517" s="17"/>
      <c r="P517" s="17"/>
      <c r="Q517" s="7"/>
    </row>
    <row r="518" spans="3:17" s="2" customFormat="1" ht="15.75" x14ac:dyDescent="0.25">
      <c r="C518" s="1"/>
      <c r="D518" s="1"/>
      <c r="E518" s="1"/>
      <c r="F518" s="1"/>
      <c r="G518" s="15"/>
      <c r="H518" s="1"/>
      <c r="I518" s="20"/>
      <c r="J518" s="20"/>
      <c r="K518" s="14"/>
      <c r="L518" s="20"/>
      <c r="M518" s="14"/>
      <c r="N518" s="17"/>
      <c r="O518" s="17"/>
      <c r="P518" s="17"/>
      <c r="Q518" s="7"/>
    </row>
    <row r="519" spans="3:17" s="2" customFormat="1" ht="15.75" x14ac:dyDescent="0.25">
      <c r="C519" s="1"/>
      <c r="D519" s="1"/>
      <c r="E519" s="1"/>
      <c r="F519" s="1"/>
      <c r="G519" s="15"/>
      <c r="H519" s="1"/>
      <c r="I519" s="20"/>
      <c r="J519" s="20"/>
      <c r="K519" s="14"/>
      <c r="L519" s="20"/>
      <c r="M519" s="14"/>
      <c r="N519" s="17"/>
      <c r="O519" s="17"/>
      <c r="P519" s="17"/>
      <c r="Q519" s="7"/>
    </row>
    <row r="520" spans="3:17" s="2" customFormat="1" ht="15.75" x14ac:dyDescent="0.25">
      <c r="C520" s="1"/>
      <c r="D520" s="1"/>
      <c r="E520" s="1"/>
      <c r="F520" s="1"/>
      <c r="G520" s="15"/>
      <c r="H520" s="1"/>
      <c r="I520" s="20"/>
      <c r="J520" s="20"/>
      <c r="K520" s="14"/>
      <c r="L520" s="20"/>
      <c r="M520" s="14"/>
      <c r="N520" s="17"/>
      <c r="O520" s="17"/>
      <c r="P520" s="17"/>
      <c r="Q520" s="7"/>
    </row>
    <row r="521" spans="3:17" s="2" customFormat="1" ht="15.75" x14ac:dyDescent="0.25">
      <c r="C521" s="1"/>
      <c r="D521" s="1"/>
      <c r="E521" s="1"/>
      <c r="F521" s="1"/>
      <c r="G521" s="15"/>
      <c r="H521" s="1"/>
      <c r="I521" s="20"/>
      <c r="J521" s="20"/>
      <c r="K521" s="14"/>
      <c r="L521" s="20"/>
      <c r="M521" s="14"/>
      <c r="N521" s="17"/>
      <c r="O521" s="17"/>
      <c r="P521" s="17"/>
      <c r="Q521" s="7"/>
    </row>
    <row r="522" spans="3:17" s="2" customFormat="1" ht="15.75" x14ac:dyDescent="0.25">
      <c r="C522" s="1"/>
      <c r="D522" s="1"/>
      <c r="E522" s="1"/>
      <c r="F522" s="1"/>
      <c r="G522" s="15"/>
      <c r="H522" s="1"/>
      <c r="I522" s="20"/>
      <c r="J522" s="20"/>
      <c r="K522" s="14"/>
      <c r="L522" s="20"/>
      <c r="M522" s="14"/>
      <c r="N522" s="17"/>
      <c r="O522" s="17"/>
      <c r="P522" s="17"/>
      <c r="Q522" s="7"/>
    </row>
    <row r="523" spans="3:17" s="2" customFormat="1" ht="15.75" x14ac:dyDescent="0.25">
      <c r="C523" s="1"/>
      <c r="D523" s="1"/>
      <c r="E523" s="1"/>
      <c r="F523" s="1"/>
      <c r="G523" s="15"/>
      <c r="H523" s="1"/>
      <c r="I523" s="20"/>
      <c r="J523" s="20"/>
      <c r="K523" s="14"/>
      <c r="L523" s="20"/>
      <c r="M523" s="14"/>
      <c r="N523" s="17"/>
      <c r="O523" s="17"/>
      <c r="P523" s="17"/>
      <c r="Q523" s="7"/>
    </row>
    <row r="524" spans="3:17" s="2" customFormat="1" ht="15.75" x14ac:dyDescent="0.25">
      <c r="C524" s="1"/>
      <c r="D524" s="1"/>
      <c r="E524" s="1"/>
      <c r="F524" s="1"/>
      <c r="G524" s="15"/>
      <c r="H524" s="1"/>
      <c r="I524" s="20"/>
      <c r="J524" s="20"/>
      <c r="K524" s="14"/>
      <c r="L524" s="20"/>
      <c r="M524" s="14"/>
      <c r="N524" s="17"/>
      <c r="O524" s="17"/>
      <c r="P524" s="17"/>
      <c r="Q524" s="7"/>
    </row>
    <row r="525" spans="3:17" s="2" customFormat="1" ht="15.75" x14ac:dyDescent="0.25">
      <c r="C525" s="1"/>
      <c r="D525" s="1"/>
      <c r="E525" s="1"/>
      <c r="F525" s="1"/>
      <c r="G525" s="15"/>
      <c r="H525" s="1"/>
      <c r="I525" s="20"/>
      <c r="J525" s="20"/>
      <c r="K525" s="14"/>
      <c r="L525" s="20"/>
      <c r="M525" s="14"/>
      <c r="N525" s="17"/>
      <c r="O525" s="17"/>
      <c r="P525" s="17"/>
      <c r="Q525" s="7"/>
    </row>
    <row r="526" spans="3:17" s="2" customFormat="1" ht="15.75" x14ac:dyDescent="0.25">
      <c r="C526" s="1"/>
      <c r="D526" s="1"/>
      <c r="E526" s="1"/>
      <c r="F526" s="1"/>
      <c r="G526" s="15"/>
      <c r="H526" s="1"/>
      <c r="I526" s="20"/>
      <c r="J526" s="20"/>
      <c r="K526" s="14"/>
      <c r="L526" s="20"/>
      <c r="M526" s="14"/>
      <c r="N526" s="17"/>
      <c r="O526" s="17"/>
      <c r="P526" s="17"/>
      <c r="Q526" s="7"/>
    </row>
    <row r="527" spans="3:17" s="2" customFormat="1" ht="15.75" x14ac:dyDescent="0.25">
      <c r="C527" s="1"/>
      <c r="D527" s="1"/>
      <c r="E527" s="1"/>
      <c r="F527" s="1"/>
      <c r="G527" s="15"/>
      <c r="H527" s="1"/>
      <c r="I527" s="20"/>
      <c r="J527" s="20"/>
      <c r="K527" s="14"/>
      <c r="L527" s="20"/>
      <c r="M527" s="14"/>
      <c r="N527" s="17"/>
      <c r="O527" s="17"/>
      <c r="P527" s="17"/>
      <c r="Q527" s="7"/>
    </row>
    <row r="528" spans="3:17" s="2" customFormat="1" ht="15.75" x14ac:dyDescent="0.25">
      <c r="C528" s="1"/>
      <c r="D528" s="1"/>
      <c r="E528" s="1"/>
      <c r="F528" s="1"/>
      <c r="G528" s="15"/>
      <c r="H528" s="1"/>
      <c r="I528" s="20"/>
      <c r="J528" s="20"/>
      <c r="K528" s="14"/>
      <c r="L528" s="20"/>
      <c r="M528" s="14"/>
      <c r="N528" s="17"/>
      <c r="O528" s="17"/>
      <c r="P528" s="17"/>
      <c r="Q528" s="7"/>
    </row>
    <row r="529" spans="3:17" s="2" customFormat="1" ht="15.75" x14ac:dyDescent="0.25">
      <c r="C529" s="1"/>
      <c r="D529" s="1"/>
      <c r="E529" s="1"/>
      <c r="F529" s="1"/>
      <c r="G529" s="15"/>
      <c r="H529" s="1"/>
      <c r="I529" s="20"/>
      <c r="J529" s="20"/>
      <c r="K529" s="14"/>
      <c r="L529" s="20"/>
      <c r="M529" s="14"/>
      <c r="N529" s="17"/>
      <c r="O529" s="17"/>
      <c r="P529" s="17"/>
      <c r="Q529" s="7"/>
    </row>
    <row r="530" spans="3:17" s="2" customFormat="1" ht="15.75" x14ac:dyDescent="0.25">
      <c r="C530" s="1"/>
      <c r="D530" s="1"/>
      <c r="E530" s="1"/>
      <c r="F530" s="1"/>
      <c r="G530" s="15"/>
      <c r="H530" s="1"/>
      <c r="I530" s="20"/>
      <c r="J530" s="20"/>
      <c r="K530" s="14"/>
      <c r="L530" s="20"/>
      <c r="M530" s="14"/>
      <c r="N530" s="17"/>
      <c r="O530" s="17"/>
      <c r="P530" s="17"/>
      <c r="Q530" s="7"/>
    </row>
    <row r="531" spans="3:17" s="2" customFormat="1" ht="15.75" x14ac:dyDescent="0.25">
      <c r="C531" s="1"/>
      <c r="D531" s="1"/>
      <c r="E531" s="1"/>
      <c r="F531" s="1"/>
      <c r="G531" s="15"/>
      <c r="H531" s="1"/>
      <c r="I531" s="20"/>
      <c r="J531" s="20"/>
      <c r="K531" s="14"/>
      <c r="L531" s="20"/>
      <c r="M531" s="14"/>
      <c r="N531" s="17"/>
      <c r="O531" s="17"/>
      <c r="P531" s="17"/>
      <c r="Q531" s="7"/>
    </row>
    <row r="532" spans="3:17" s="2" customFormat="1" ht="15.75" x14ac:dyDescent="0.25">
      <c r="C532" s="1"/>
      <c r="D532" s="1"/>
      <c r="E532" s="1"/>
      <c r="F532" s="1"/>
      <c r="G532" s="15"/>
      <c r="H532" s="1"/>
      <c r="I532" s="20"/>
      <c r="J532" s="20"/>
      <c r="K532" s="14"/>
      <c r="L532" s="20"/>
      <c r="M532" s="14"/>
      <c r="N532" s="17"/>
      <c r="O532" s="17"/>
      <c r="P532" s="17"/>
      <c r="Q532" s="7"/>
    </row>
    <row r="533" spans="3:17" s="2" customFormat="1" ht="15.75" x14ac:dyDescent="0.25">
      <c r="C533" s="1"/>
      <c r="D533" s="1"/>
      <c r="E533" s="1"/>
      <c r="F533" s="1"/>
      <c r="G533" s="15"/>
      <c r="H533" s="1"/>
      <c r="I533" s="20"/>
      <c r="J533" s="20"/>
      <c r="K533" s="14"/>
      <c r="L533" s="20"/>
      <c r="M533" s="14"/>
      <c r="N533" s="17"/>
      <c r="O533" s="17"/>
      <c r="P533" s="17"/>
      <c r="Q533" s="7"/>
    </row>
    <row r="534" spans="3:17" s="2" customFormat="1" ht="15.75" x14ac:dyDescent="0.25">
      <c r="C534" s="1"/>
      <c r="D534" s="1"/>
      <c r="E534" s="1"/>
      <c r="F534" s="1"/>
      <c r="G534" s="15"/>
      <c r="H534" s="1"/>
      <c r="I534" s="20"/>
      <c r="J534" s="20"/>
      <c r="K534" s="14"/>
      <c r="L534" s="20"/>
      <c r="M534" s="14"/>
      <c r="N534" s="17"/>
      <c r="O534" s="17"/>
      <c r="P534" s="17"/>
      <c r="Q534" s="7"/>
    </row>
    <row r="535" spans="3:17" s="2" customFormat="1" ht="15.75" x14ac:dyDescent="0.25">
      <c r="C535" s="1"/>
      <c r="D535" s="1"/>
      <c r="E535" s="1"/>
      <c r="F535" s="1"/>
      <c r="G535" s="15"/>
      <c r="H535" s="1"/>
      <c r="I535" s="20"/>
      <c r="J535" s="20"/>
      <c r="K535" s="14"/>
      <c r="L535" s="20"/>
      <c r="M535" s="14"/>
      <c r="N535" s="17"/>
      <c r="O535" s="17"/>
      <c r="P535" s="17"/>
      <c r="Q535" s="7"/>
    </row>
    <row r="536" spans="3:17" s="2" customFormat="1" ht="15.75" x14ac:dyDescent="0.25">
      <c r="C536" s="1"/>
      <c r="D536" s="1"/>
      <c r="E536" s="1"/>
      <c r="F536" s="1"/>
      <c r="G536" s="15"/>
      <c r="H536" s="1"/>
      <c r="I536" s="20"/>
      <c r="J536" s="20"/>
      <c r="K536" s="14"/>
      <c r="L536" s="20"/>
      <c r="M536" s="14"/>
      <c r="N536" s="17"/>
      <c r="O536" s="17"/>
      <c r="P536" s="17"/>
      <c r="Q536" s="7"/>
    </row>
    <row r="537" spans="3:17" s="2" customFormat="1" ht="15.75" x14ac:dyDescent="0.25">
      <c r="C537" s="1"/>
      <c r="D537" s="1"/>
      <c r="E537" s="1"/>
      <c r="F537" s="1"/>
      <c r="G537" s="15"/>
      <c r="H537" s="1"/>
      <c r="I537" s="20"/>
      <c r="J537" s="20"/>
      <c r="K537" s="14"/>
      <c r="L537" s="20"/>
      <c r="M537" s="14"/>
      <c r="N537" s="17"/>
      <c r="O537" s="17"/>
      <c r="P537" s="17"/>
      <c r="Q537" s="7"/>
    </row>
    <row r="538" spans="3:17" s="2" customFormat="1" ht="15.75" x14ac:dyDescent="0.25">
      <c r="C538" s="1"/>
      <c r="D538" s="1"/>
      <c r="E538" s="1"/>
      <c r="F538" s="1"/>
      <c r="G538" s="15"/>
      <c r="H538" s="1"/>
      <c r="I538" s="20"/>
      <c r="J538" s="20"/>
      <c r="K538" s="14"/>
      <c r="L538" s="20"/>
      <c r="M538" s="14"/>
      <c r="N538" s="17"/>
      <c r="O538" s="17"/>
      <c r="P538" s="17"/>
      <c r="Q538" s="7"/>
    </row>
    <row r="539" spans="3:17" s="2" customFormat="1" ht="15.75" x14ac:dyDescent="0.25">
      <c r="C539" s="1"/>
      <c r="D539" s="1"/>
      <c r="E539" s="1"/>
      <c r="F539" s="1"/>
      <c r="G539" s="15"/>
      <c r="H539" s="1"/>
      <c r="I539" s="20"/>
      <c r="J539" s="20"/>
      <c r="K539" s="14"/>
      <c r="L539" s="20"/>
      <c r="M539" s="14"/>
      <c r="N539" s="17"/>
      <c r="O539" s="17"/>
      <c r="P539" s="17"/>
      <c r="Q539" s="7"/>
    </row>
    <row r="540" spans="3:17" s="2" customFormat="1" ht="15.75" x14ac:dyDescent="0.25">
      <c r="C540" s="1"/>
      <c r="D540" s="1"/>
      <c r="E540" s="1"/>
      <c r="F540" s="1"/>
      <c r="G540" s="15"/>
      <c r="H540" s="1"/>
      <c r="I540" s="20"/>
      <c r="J540" s="20"/>
      <c r="K540" s="14"/>
      <c r="L540" s="20"/>
      <c r="M540" s="14"/>
      <c r="N540" s="17"/>
      <c r="O540" s="17"/>
      <c r="P540" s="17"/>
      <c r="Q540" s="7"/>
    </row>
    <row r="541" spans="3:17" s="2" customFormat="1" ht="15.75" x14ac:dyDescent="0.25">
      <c r="C541" s="1"/>
      <c r="D541" s="1"/>
      <c r="E541" s="1"/>
      <c r="F541" s="1"/>
      <c r="G541" s="15"/>
      <c r="H541" s="1"/>
      <c r="I541" s="20"/>
      <c r="J541" s="20"/>
      <c r="K541" s="14"/>
      <c r="L541" s="20"/>
      <c r="M541" s="14"/>
      <c r="N541" s="17"/>
      <c r="O541" s="17"/>
      <c r="P541" s="17"/>
      <c r="Q541" s="7"/>
    </row>
    <row r="542" spans="3:17" s="2" customFormat="1" ht="15.75" x14ac:dyDescent="0.25">
      <c r="C542" s="1"/>
      <c r="D542" s="1"/>
      <c r="E542" s="1"/>
      <c r="F542" s="1"/>
      <c r="G542" s="15"/>
      <c r="H542" s="1"/>
      <c r="I542" s="20"/>
      <c r="J542" s="20"/>
      <c r="K542" s="14"/>
      <c r="L542" s="20"/>
      <c r="M542" s="14"/>
      <c r="N542" s="17"/>
      <c r="O542" s="17"/>
      <c r="P542" s="17"/>
      <c r="Q542" s="7"/>
    </row>
    <row r="543" spans="3:17" s="2" customFormat="1" ht="15.75" x14ac:dyDescent="0.25">
      <c r="C543" s="1"/>
      <c r="D543" s="1"/>
      <c r="E543" s="1"/>
      <c r="F543" s="1"/>
      <c r="G543" s="15"/>
      <c r="H543" s="1"/>
      <c r="I543" s="20"/>
      <c r="J543" s="20"/>
      <c r="K543" s="14"/>
      <c r="L543" s="20"/>
      <c r="M543" s="14"/>
      <c r="N543" s="17"/>
      <c r="O543" s="17"/>
      <c r="P543" s="17"/>
      <c r="Q543" s="7"/>
    </row>
    <row r="544" spans="3:17" s="2" customFormat="1" ht="15.75" x14ac:dyDescent="0.25">
      <c r="C544" s="1"/>
      <c r="D544" s="1"/>
      <c r="E544" s="1"/>
      <c r="F544" s="1"/>
      <c r="G544" s="15"/>
      <c r="H544" s="1"/>
      <c r="I544" s="20"/>
      <c r="J544" s="20"/>
      <c r="K544" s="14"/>
      <c r="L544" s="20"/>
      <c r="M544" s="14"/>
      <c r="N544" s="17"/>
      <c r="O544" s="17"/>
      <c r="P544" s="17"/>
      <c r="Q544" s="7"/>
    </row>
    <row r="545" spans="3:17" s="2" customFormat="1" ht="15.75" x14ac:dyDescent="0.25">
      <c r="C545" s="1"/>
      <c r="D545" s="1"/>
      <c r="E545" s="1"/>
      <c r="F545" s="1"/>
      <c r="G545" s="15"/>
      <c r="H545" s="1"/>
      <c r="I545" s="20"/>
      <c r="J545" s="20"/>
      <c r="K545" s="14"/>
      <c r="L545" s="20"/>
      <c r="M545" s="14"/>
      <c r="N545" s="17"/>
      <c r="O545" s="17"/>
      <c r="P545" s="17"/>
      <c r="Q545" s="7"/>
    </row>
    <row r="546" spans="3:17" s="2" customFormat="1" ht="15.75" x14ac:dyDescent="0.25">
      <c r="C546" s="1"/>
      <c r="D546" s="1"/>
      <c r="E546" s="1"/>
      <c r="F546" s="1"/>
      <c r="G546" s="15"/>
      <c r="H546" s="1"/>
      <c r="I546" s="20"/>
      <c r="J546" s="20"/>
      <c r="K546" s="14"/>
      <c r="L546" s="20"/>
      <c r="M546" s="14"/>
      <c r="N546" s="17"/>
      <c r="O546" s="17"/>
      <c r="P546" s="17"/>
      <c r="Q546" s="7"/>
    </row>
    <row r="547" spans="3:17" s="2" customFormat="1" ht="15.75" x14ac:dyDescent="0.25">
      <c r="C547" s="1"/>
      <c r="D547" s="1"/>
      <c r="E547" s="1"/>
      <c r="F547" s="1"/>
      <c r="G547" s="15"/>
      <c r="H547" s="1"/>
      <c r="I547" s="20"/>
      <c r="J547" s="20"/>
      <c r="K547" s="14"/>
      <c r="L547" s="20"/>
      <c r="M547" s="14"/>
      <c r="N547" s="17"/>
      <c r="O547" s="17"/>
      <c r="P547" s="17"/>
      <c r="Q547" s="7"/>
    </row>
    <row r="548" spans="3:17" s="2" customFormat="1" ht="15.75" x14ac:dyDescent="0.25">
      <c r="C548" s="1"/>
      <c r="D548" s="1"/>
      <c r="E548" s="1"/>
      <c r="F548" s="1"/>
      <c r="G548" s="15"/>
      <c r="H548" s="1"/>
      <c r="I548" s="20"/>
      <c r="J548" s="20"/>
      <c r="K548" s="14"/>
      <c r="L548" s="20"/>
      <c r="M548" s="14"/>
      <c r="N548" s="17"/>
      <c r="O548" s="17"/>
      <c r="P548" s="17"/>
      <c r="Q548" s="7"/>
    </row>
    <row r="549" spans="3:17" s="2" customFormat="1" ht="15.75" x14ac:dyDescent="0.25">
      <c r="C549" s="1"/>
      <c r="D549" s="1"/>
      <c r="E549" s="1"/>
      <c r="F549" s="1"/>
      <c r="G549" s="15"/>
      <c r="H549" s="1"/>
      <c r="I549" s="20"/>
      <c r="J549" s="20"/>
      <c r="K549" s="14"/>
      <c r="L549" s="20"/>
      <c r="M549" s="14"/>
      <c r="N549" s="17"/>
      <c r="O549" s="17"/>
      <c r="P549" s="17"/>
      <c r="Q549" s="7"/>
    </row>
    <row r="550" spans="3:17" s="2" customFormat="1" ht="15.75" x14ac:dyDescent="0.25">
      <c r="C550" s="1"/>
      <c r="D550" s="1"/>
      <c r="E550" s="1"/>
      <c r="F550" s="1"/>
      <c r="G550" s="15"/>
      <c r="H550" s="1"/>
      <c r="I550" s="20"/>
      <c r="J550" s="20"/>
      <c r="K550" s="14"/>
      <c r="L550" s="20"/>
      <c r="M550" s="14"/>
      <c r="N550" s="17"/>
      <c r="O550" s="17"/>
      <c r="P550" s="17"/>
      <c r="Q550" s="7"/>
    </row>
    <row r="551" spans="3:17" s="2" customFormat="1" ht="15.75" x14ac:dyDescent="0.25">
      <c r="C551" s="1"/>
      <c r="D551" s="1"/>
      <c r="E551" s="1"/>
      <c r="F551" s="1"/>
      <c r="G551" s="15"/>
      <c r="H551" s="1"/>
      <c r="I551" s="20"/>
      <c r="J551" s="20"/>
      <c r="K551" s="14"/>
      <c r="L551" s="20"/>
      <c r="M551" s="14"/>
      <c r="N551" s="17"/>
      <c r="O551" s="17"/>
      <c r="P551" s="17"/>
      <c r="Q551" s="7"/>
    </row>
    <row r="552" spans="3:17" s="2" customFormat="1" ht="15.75" x14ac:dyDescent="0.25">
      <c r="C552" s="1"/>
      <c r="D552" s="1"/>
      <c r="E552" s="1"/>
      <c r="F552" s="1"/>
      <c r="G552" s="15"/>
      <c r="H552" s="1"/>
      <c r="I552" s="20"/>
      <c r="J552" s="20"/>
      <c r="K552" s="14"/>
      <c r="L552" s="20"/>
      <c r="M552" s="14"/>
      <c r="N552" s="17"/>
      <c r="O552" s="17"/>
      <c r="P552" s="17"/>
      <c r="Q552" s="7"/>
    </row>
    <row r="553" spans="3:17" s="2" customFormat="1" ht="15.75" x14ac:dyDescent="0.25">
      <c r="C553" s="1"/>
      <c r="D553" s="1"/>
      <c r="E553" s="1"/>
      <c r="F553" s="1"/>
      <c r="G553" s="15"/>
      <c r="H553" s="1"/>
      <c r="I553" s="20"/>
      <c r="J553" s="20"/>
      <c r="K553" s="14"/>
      <c r="L553" s="20"/>
      <c r="M553" s="14"/>
      <c r="N553" s="17"/>
      <c r="O553" s="17"/>
      <c r="P553" s="17"/>
      <c r="Q553" s="7"/>
    </row>
    <row r="554" spans="3:17" s="2" customFormat="1" ht="15.75" x14ac:dyDescent="0.25">
      <c r="C554" s="1"/>
      <c r="D554" s="1"/>
      <c r="E554" s="1"/>
      <c r="F554" s="1"/>
      <c r="G554" s="15"/>
      <c r="H554" s="1"/>
      <c r="I554" s="20"/>
      <c r="J554" s="20"/>
      <c r="K554" s="14"/>
      <c r="L554" s="20"/>
      <c r="M554" s="14"/>
      <c r="N554" s="17"/>
      <c r="O554" s="17"/>
      <c r="P554" s="17"/>
      <c r="Q554" s="7"/>
    </row>
    <row r="555" spans="3:17" s="2" customFormat="1" ht="15.75" x14ac:dyDescent="0.25">
      <c r="C555" s="1"/>
      <c r="D555" s="1"/>
      <c r="E555" s="1"/>
      <c r="F555" s="1"/>
      <c r="G555" s="15"/>
      <c r="H555" s="1"/>
      <c r="I555" s="20"/>
      <c r="J555" s="20"/>
      <c r="K555" s="14"/>
      <c r="L555" s="20"/>
      <c r="M555" s="14"/>
      <c r="N555" s="17"/>
      <c r="O555" s="17"/>
      <c r="P555" s="17"/>
      <c r="Q555" s="7"/>
    </row>
    <row r="556" spans="3:17" s="2" customFormat="1" ht="15.75" x14ac:dyDescent="0.25">
      <c r="C556" s="1"/>
      <c r="D556" s="1"/>
      <c r="E556" s="1"/>
      <c r="F556" s="1"/>
      <c r="G556" s="15"/>
      <c r="H556" s="1"/>
      <c r="I556" s="20"/>
      <c r="J556" s="20"/>
      <c r="K556" s="14"/>
      <c r="L556" s="20"/>
      <c r="M556" s="14"/>
      <c r="N556" s="17"/>
      <c r="O556" s="17"/>
      <c r="P556" s="17"/>
      <c r="Q556" s="7"/>
    </row>
    <row r="557" spans="3:17" s="2" customFormat="1" ht="15.75" x14ac:dyDescent="0.25">
      <c r="C557" s="1"/>
      <c r="D557" s="1"/>
      <c r="E557" s="1"/>
      <c r="F557" s="1"/>
      <c r="G557" s="15"/>
      <c r="H557" s="1"/>
      <c r="I557" s="20"/>
      <c r="J557" s="20"/>
      <c r="K557" s="14"/>
      <c r="L557" s="20"/>
      <c r="M557" s="14"/>
      <c r="N557" s="17"/>
      <c r="O557" s="17"/>
      <c r="P557" s="17"/>
      <c r="Q557" s="7"/>
    </row>
    <row r="558" spans="3:17" s="2" customFormat="1" ht="15.75" x14ac:dyDescent="0.25">
      <c r="C558" s="1"/>
      <c r="D558" s="1"/>
      <c r="E558" s="1"/>
      <c r="F558" s="1"/>
      <c r="G558" s="15"/>
      <c r="H558" s="1"/>
      <c r="I558" s="20"/>
      <c r="J558" s="20"/>
      <c r="K558" s="14"/>
      <c r="L558" s="20"/>
      <c r="M558" s="14"/>
      <c r="N558" s="17"/>
      <c r="O558" s="17"/>
      <c r="P558" s="17"/>
      <c r="Q558" s="7"/>
    </row>
    <row r="559" spans="3:17" s="2" customFormat="1" ht="15.75" x14ac:dyDescent="0.25">
      <c r="C559" s="1"/>
      <c r="D559" s="1"/>
      <c r="E559" s="1"/>
      <c r="F559" s="1"/>
      <c r="G559" s="15"/>
      <c r="H559" s="1"/>
      <c r="I559" s="20"/>
      <c r="J559" s="20"/>
      <c r="K559" s="14"/>
      <c r="L559" s="20"/>
      <c r="M559" s="14"/>
      <c r="N559" s="17"/>
      <c r="O559" s="17"/>
      <c r="P559" s="17"/>
      <c r="Q559" s="7"/>
    </row>
    <row r="560" spans="3:17" s="2" customFormat="1" ht="15.75" x14ac:dyDescent="0.25">
      <c r="C560" s="1"/>
      <c r="D560" s="1"/>
      <c r="E560" s="1"/>
      <c r="F560" s="1"/>
      <c r="G560" s="15"/>
      <c r="H560" s="1"/>
      <c r="I560" s="20"/>
      <c r="J560" s="20"/>
      <c r="K560" s="14"/>
      <c r="L560" s="20"/>
      <c r="M560" s="14"/>
      <c r="N560" s="17"/>
      <c r="O560" s="17"/>
      <c r="P560" s="17"/>
      <c r="Q560" s="7"/>
    </row>
    <row r="561" spans="3:17" s="2" customFormat="1" ht="15.75" x14ac:dyDescent="0.25">
      <c r="C561" s="1"/>
      <c r="D561" s="1"/>
      <c r="E561" s="1"/>
      <c r="F561" s="1"/>
      <c r="G561" s="15"/>
      <c r="H561" s="1"/>
      <c r="I561" s="20"/>
      <c r="J561" s="20"/>
      <c r="K561" s="14"/>
      <c r="L561" s="20"/>
      <c r="M561" s="14"/>
      <c r="N561" s="17"/>
      <c r="O561" s="17"/>
      <c r="P561" s="17"/>
      <c r="Q561" s="7"/>
    </row>
    <row r="562" spans="3:17" s="2" customFormat="1" ht="15.75" x14ac:dyDescent="0.25">
      <c r="C562" s="1"/>
      <c r="D562" s="1"/>
      <c r="E562" s="1"/>
      <c r="F562" s="1"/>
      <c r="G562" s="15"/>
      <c r="H562" s="1"/>
      <c r="I562" s="20"/>
      <c r="J562" s="20"/>
      <c r="K562" s="14"/>
      <c r="L562" s="20"/>
      <c r="M562" s="14"/>
      <c r="N562" s="17"/>
      <c r="O562" s="17"/>
      <c r="P562" s="17"/>
      <c r="Q562" s="7"/>
    </row>
    <row r="563" spans="3:17" s="2" customFormat="1" ht="15.75" x14ac:dyDescent="0.25">
      <c r="C563" s="1"/>
      <c r="D563" s="1"/>
      <c r="E563" s="1"/>
      <c r="F563" s="1"/>
      <c r="G563" s="15"/>
      <c r="H563" s="1"/>
      <c r="I563" s="20"/>
      <c r="J563" s="20"/>
      <c r="K563" s="14"/>
      <c r="L563" s="20"/>
      <c r="M563" s="14"/>
      <c r="N563" s="17"/>
      <c r="O563" s="17"/>
      <c r="P563" s="17"/>
      <c r="Q563" s="7"/>
    </row>
    <row r="564" spans="3:17" s="2" customFormat="1" ht="15.75" x14ac:dyDescent="0.25">
      <c r="C564" s="1"/>
      <c r="D564" s="1"/>
      <c r="E564" s="1"/>
      <c r="F564" s="1"/>
      <c r="G564" s="15"/>
      <c r="H564" s="1"/>
      <c r="I564" s="20"/>
      <c r="J564" s="20"/>
      <c r="K564" s="14"/>
      <c r="L564" s="20"/>
      <c r="M564" s="14"/>
      <c r="N564" s="17"/>
      <c r="O564" s="17"/>
      <c r="P564" s="17"/>
      <c r="Q564" s="7"/>
    </row>
    <row r="565" spans="3:17" s="2" customFormat="1" ht="15.75" x14ac:dyDescent="0.25">
      <c r="C565" s="1"/>
      <c r="D565" s="1"/>
      <c r="E565" s="1"/>
      <c r="F565" s="1"/>
      <c r="G565" s="15"/>
      <c r="H565" s="1"/>
      <c r="I565" s="20"/>
      <c r="J565" s="20"/>
      <c r="K565" s="14"/>
      <c r="L565" s="20"/>
      <c r="M565" s="14"/>
      <c r="N565" s="17"/>
      <c r="O565" s="17"/>
      <c r="P565" s="17"/>
      <c r="Q565" s="7"/>
    </row>
    <row r="566" spans="3:17" s="2" customFormat="1" ht="15.75" x14ac:dyDescent="0.25">
      <c r="C566" s="1"/>
      <c r="D566" s="1"/>
      <c r="E566" s="1"/>
      <c r="F566" s="1"/>
      <c r="G566" s="15"/>
      <c r="H566" s="1"/>
      <c r="I566" s="20"/>
      <c r="J566" s="20"/>
      <c r="K566" s="14"/>
      <c r="L566" s="20"/>
      <c r="M566" s="14"/>
      <c r="N566" s="17"/>
      <c r="O566" s="17"/>
      <c r="P566" s="17"/>
      <c r="Q566" s="7"/>
    </row>
    <row r="567" spans="3:17" s="2" customFormat="1" ht="15.75" x14ac:dyDescent="0.25">
      <c r="C567" s="1"/>
      <c r="D567" s="1"/>
      <c r="E567" s="1"/>
      <c r="F567" s="1"/>
      <c r="G567" s="15"/>
      <c r="H567" s="1"/>
      <c r="I567" s="20"/>
      <c r="J567" s="20"/>
      <c r="K567" s="14"/>
      <c r="L567" s="20"/>
      <c r="M567" s="14"/>
      <c r="N567" s="17"/>
      <c r="O567" s="17"/>
      <c r="P567" s="17"/>
      <c r="Q567" s="7"/>
    </row>
    <row r="568" spans="3:17" s="2" customFormat="1" ht="15.75" x14ac:dyDescent="0.25">
      <c r="C568" s="1"/>
      <c r="D568" s="1"/>
      <c r="E568" s="1"/>
      <c r="F568" s="1"/>
      <c r="G568" s="15"/>
      <c r="H568" s="1"/>
      <c r="I568" s="20"/>
      <c r="J568" s="20"/>
      <c r="K568" s="14"/>
      <c r="L568" s="20"/>
      <c r="M568" s="14"/>
      <c r="N568" s="17"/>
      <c r="O568" s="17"/>
      <c r="P568" s="17"/>
      <c r="Q568" s="7"/>
    </row>
    <row r="569" spans="3:17" s="2" customFormat="1" ht="15.75" x14ac:dyDescent="0.25">
      <c r="C569" s="1"/>
      <c r="D569" s="1"/>
      <c r="E569" s="1"/>
      <c r="F569" s="1"/>
      <c r="G569" s="15"/>
      <c r="H569" s="1"/>
      <c r="I569" s="20"/>
      <c r="J569" s="20"/>
      <c r="K569" s="14"/>
      <c r="L569" s="20"/>
      <c r="M569" s="14"/>
      <c r="N569" s="17"/>
      <c r="O569" s="17"/>
      <c r="P569" s="17"/>
      <c r="Q569" s="7"/>
    </row>
    <row r="570" spans="3:17" s="2" customFormat="1" ht="15.75" x14ac:dyDescent="0.25">
      <c r="C570" s="1"/>
      <c r="D570" s="1"/>
      <c r="E570" s="1"/>
      <c r="F570" s="1"/>
      <c r="G570" s="15"/>
      <c r="H570" s="1"/>
      <c r="I570" s="20"/>
      <c r="J570" s="20"/>
      <c r="K570" s="14"/>
      <c r="L570" s="20"/>
      <c r="M570" s="14"/>
      <c r="N570" s="17"/>
      <c r="O570" s="17"/>
      <c r="P570" s="17"/>
      <c r="Q570" s="7"/>
    </row>
    <row r="571" spans="3:17" s="2" customFormat="1" ht="15.75" x14ac:dyDescent="0.25">
      <c r="C571" s="1"/>
      <c r="D571" s="1"/>
      <c r="E571" s="1"/>
      <c r="F571" s="1"/>
      <c r="G571" s="15"/>
      <c r="H571" s="1"/>
      <c r="I571" s="20"/>
      <c r="J571" s="20"/>
      <c r="K571" s="14"/>
      <c r="L571" s="20"/>
      <c r="M571" s="14"/>
      <c r="N571" s="17"/>
      <c r="O571" s="17"/>
      <c r="P571" s="17"/>
      <c r="Q571" s="7"/>
    </row>
    <row r="572" spans="3:17" s="2" customFormat="1" ht="15.75" x14ac:dyDescent="0.25">
      <c r="C572" s="1"/>
      <c r="D572" s="1"/>
      <c r="E572" s="1"/>
      <c r="F572" s="1"/>
      <c r="G572" s="15"/>
      <c r="H572" s="1"/>
      <c r="I572" s="20"/>
      <c r="J572" s="20"/>
      <c r="K572" s="14"/>
      <c r="L572" s="20"/>
      <c r="M572" s="14"/>
      <c r="N572" s="17"/>
      <c r="O572" s="17"/>
      <c r="P572" s="17"/>
      <c r="Q572" s="7"/>
    </row>
    <row r="573" spans="3:17" s="2" customFormat="1" ht="15.75" x14ac:dyDescent="0.25">
      <c r="C573" s="1"/>
      <c r="D573" s="1"/>
      <c r="E573" s="1"/>
      <c r="F573" s="1"/>
      <c r="G573" s="15"/>
      <c r="H573" s="1"/>
      <c r="I573" s="20"/>
      <c r="J573" s="20"/>
      <c r="K573" s="14"/>
      <c r="L573" s="20"/>
      <c r="M573" s="14"/>
      <c r="N573" s="17"/>
      <c r="O573" s="17"/>
      <c r="P573" s="17"/>
      <c r="Q573" s="7"/>
    </row>
    <row r="574" spans="3:17" s="2" customFormat="1" ht="15.75" x14ac:dyDescent="0.25">
      <c r="C574" s="1"/>
      <c r="D574" s="1"/>
      <c r="E574" s="1"/>
      <c r="F574" s="1"/>
      <c r="G574" s="15"/>
      <c r="H574" s="1"/>
      <c r="I574" s="20"/>
      <c r="J574" s="20"/>
      <c r="K574" s="14"/>
      <c r="L574" s="20"/>
      <c r="M574" s="14"/>
      <c r="N574" s="17"/>
      <c r="O574" s="17"/>
      <c r="P574" s="17"/>
      <c r="Q574" s="7"/>
    </row>
    <row r="575" spans="3:17" s="2" customFormat="1" ht="15.75" x14ac:dyDescent="0.25">
      <c r="C575" s="1"/>
      <c r="D575" s="1"/>
      <c r="E575" s="1"/>
      <c r="F575" s="1"/>
      <c r="G575" s="15"/>
      <c r="H575" s="1"/>
      <c r="I575" s="20"/>
      <c r="J575" s="20"/>
      <c r="K575" s="14"/>
      <c r="L575" s="20"/>
      <c r="M575" s="14"/>
      <c r="N575" s="17"/>
      <c r="O575" s="17"/>
      <c r="P575" s="17"/>
      <c r="Q575" s="7"/>
    </row>
    <row r="576" spans="3:17" s="2" customFormat="1" ht="15.75" x14ac:dyDescent="0.25">
      <c r="C576" s="1"/>
      <c r="D576" s="1"/>
      <c r="E576" s="1"/>
      <c r="F576" s="1"/>
      <c r="G576" s="15"/>
      <c r="H576" s="1"/>
      <c r="I576" s="20"/>
      <c r="J576" s="20"/>
      <c r="K576" s="14"/>
      <c r="L576" s="20"/>
      <c r="M576" s="14"/>
      <c r="N576" s="17"/>
      <c r="O576" s="17"/>
      <c r="P576" s="17"/>
      <c r="Q576" s="7"/>
    </row>
    <row r="577" spans="3:17" s="2" customFormat="1" ht="15.75" x14ac:dyDescent="0.25">
      <c r="C577" s="1"/>
      <c r="D577" s="1"/>
      <c r="E577" s="1"/>
      <c r="F577" s="1"/>
      <c r="G577" s="15"/>
      <c r="H577" s="1"/>
      <c r="I577" s="20"/>
      <c r="J577" s="20"/>
      <c r="K577" s="14"/>
      <c r="L577" s="20"/>
      <c r="M577" s="14"/>
      <c r="N577" s="17"/>
      <c r="O577" s="17"/>
      <c r="P577" s="17"/>
      <c r="Q577" s="7"/>
    </row>
    <row r="578" spans="3:17" s="2" customFormat="1" ht="15.75" x14ac:dyDescent="0.25">
      <c r="C578" s="1"/>
      <c r="D578" s="1"/>
      <c r="E578" s="1"/>
      <c r="F578" s="1"/>
      <c r="G578" s="15"/>
      <c r="H578" s="1"/>
      <c r="I578" s="20"/>
      <c r="J578" s="20"/>
      <c r="K578" s="14"/>
      <c r="L578" s="20"/>
      <c r="M578" s="14"/>
      <c r="N578" s="17"/>
      <c r="O578" s="17"/>
      <c r="P578" s="17"/>
      <c r="Q578" s="7"/>
    </row>
    <row r="579" spans="3:17" s="2" customFormat="1" ht="15.75" x14ac:dyDescent="0.25">
      <c r="C579" s="1"/>
      <c r="D579" s="1"/>
      <c r="E579" s="1"/>
      <c r="F579" s="1"/>
      <c r="G579" s="15"/>
      <c r="H579" s="1"/>
      <c r="I579" s="20"/>
      <c r="J579" s="20"/>
      <c r="K579" s="14"/>
      <c r="L579" s="20"/>
      <c r="M579" s="14"/>
      <c r="N579" s="17"/>
      <c r="O579" s="17"/>
      <c r="P579" s="17"/>
      <c r="Q579" s="7"/>
    </row>
    <row r="580" spans="3:17" s="2" customFormat="1" ht="15.75" x14ac:dyDescent="0.25">
      <c r="C580" s="1"/>
      <c r="D580" s="1"/>
      <c r="E580" s="1"/>
      <c r="F580" s="1"/>
      <c r="G580" s="15"/>
      <c r="H580" s="1"/>
      <c r="I580" s="20"/>
      <c r="J580" s="20"/>
      <c r="K580" s="14"/>
      <c r="L580" s="20"/>
      <c r="M580" s="14"/>
      <c r="N580" s="17"/>
      <c r="O580" s="17"/>
      <c r="P580" s="17"/>
      <c r="Q580" s="7"/>
    </row>
    <row r="581" spans="3:17" s="2" customFormat="1" ht="15.75" x14ac:dyDescent="0.25">
      <c r="C581" s="1"/>
      <c r="D581" s="1"/>
      <c r="E581" s="1"/>
      <c r="F581" s="1"/>
      <c r="G581" s="15"/>
      <c r="H581" s="1"/>
      <c r="I581" s="20"/>
      <c r="J581" s="20"/>
      <c r="K581" s="14"/>
      <c r="L581" s="20"/>
      <c r="M581" s="14"/>
      <c r="N581" s="17"/>
      <c r="O581" s="17"/>
      <c r="P581" s="17"/>
      <c r="Q581" s="7"/>
    </row>
    <row r="582" spans="3:17" s="2" customFormat="1" ht="15.75" x14ac:dyDescent="0.25">
      <c r="C582" s="1"/>
      <c r="D582" s="1"/>
      <c r="E582" s="1"/>
      <c r="F582" s="1"/>
      <c r="G582" s="15"/>
      <c r="H582" s="1"/>
      <c r="I582" s="20"/>
      <c r="J582" s="20"/>
      <c r="K582" s="14"/>
      <c r="L582" s="20"/>
      <c r="M582" s="14"/>
      <c r="N582" s="17"/>
      <c r="O582" s="17"/>
      <c r="P582" s="17"/>
      <c r="Q582" s="7"/>
    </row>
    <row r="583" spans="3:17" s="2" customFormat="1" ht="15.75" x14ac:dyDescent="0.25">
      <c r="C583" s="1"/>
      <c r="D583" s="1"/>
      <c r="E583" s="1"/>
      <c r="F583" s="1"/>
      <c r="G583" s="15"/>
      <c r="H583" s="1"/>
      <c r="I583" s="20"/>
      <c r="J583" s="20"/>
      <c r="K583" s="14"/>
      <c r="L583" s="20"/>
      <c r="M583" s="14"/>
      <c r="N583" s="17"/>
      <c r="O583" s="17"/>
      <c r="P583" s="17"/>
      <c r="Q583" s="7"/>
    </row>
    <row r="584" spans="3:17" s="2" customFormat="1" ht="15.75" x14ac:dyDescent="0.25">
      <c r="C584" s="1"/>
      <c r="D584" s="1"/>
      <c r="E584" s="1"/>
      <c r="F584" s="1"/>
      <c r="G584" s="15"/>
      <c r="H584" s="1"/>
      <c r="I584" s="20"/>
      <c r="J584" s="20"/>
      <c r="K584" s="14"/>
      <c r="L584" s="20"/>
      <c r="M584" s="14"/>
      <c r="N584" s="17"/>
      <c r="O584" s="17"/>
      <c r="P584" s="17"/>
      <c r="Q584" s="7"/>
    </row>
    <row r="585" spans="3:17" s="2" customFormat="1" ht="15.75" x14ac:dyDescent="0.25">
      <c r="C585" s="1"/>
      <c r="D585" s="1"/>
      <c r="E585" s="1"/>
      <c r="F585" s="1"/>
      <c r="G585" s="15"/>
      <c r="H585" s="1"/>
      <c r="I585" s="20"/>
      <c r="J585" s="20"/>
      <c r="K585" s="14"/>
      <c r="L585" s="20"/>
      <c r="M585" s="14"/>
      <c r="N585" s="17"/>
      <c r="O585" s="17"/>
      <c r="P585" s="17"/>
      <c r="Q585" s="7"/>
    </row>
    <row r="586" spans="3:17" s="2" customFormat="1" ht="15.75" x14ac:dyDescent="0.25">
      <c r="C586" s="1"/>
      <c r="D586" s="1"/>
      <c r="E586" s="1"/>
      <c r="F586" s="1"/>
      <c r="G586" s="15"/>
      <c r="H586" s="1"/>
      <c r="I586" s="20"/>
      <c r="J586" s="20"/>
      <c r="K586" s="14"/>
      <c r="L586" s="20"/>
      <c r="M586" s="14"/>
      <c r="N586" s="17"/>
      <c r="O586" s="17"/>
      <c r="P586" s="17"/>
      <c r="Q586" s="7"/>
    </row>
    <row r="587" spans="3:17" s="2" customFormat="1" ht="15.75" x14ac:dyDescent="0.25">
      <c r="C587" s="1"/>
      <c r="D587" s="1"/>
      <c r="E587" s="1"/>
      <c r="F587" s="1"/>
      <c r="G587" s="15"/>
      <c r="H587" s="1"/>
      <c r="I587" s="20"/>
      <c r="J587" s="20"/>
      <c r="K587" s="14"/>
      <c r="L587" s="20"/>
      <c r="M587" s="14"/>
      <c r="N587" s="17"/>
      <c r="O587" s="17"/>
      <c r="P587" s="17"/>
      <c r="Q587" s="7"/>
    </row>
    <row r="588" spans="3:17" s="2" customFormat="1" ht="15.75" x14ac:dyDescent="0.25">
      <c r="C588" s="1"/>
      <c r="D588" s="1"/>
      <c r="E588" s="1"/>
      <c r="F588" s="1"/>
      <c r="G588" s="15"/>
      <c r="H588" s="1"/>
      <c r="I588" s="20"/>
      <c r="J588" s="20"/>
      <c r="K588" s="14"/>
      <c r="L588" s="20"/>
      <c r="M588" s="14"/>
      <c r="N588" s="17"/>
      <c r="O588" s="17"/>
      <c r="P588" s="17"/>
      <c r="Q588" s="7"/>
    </row>
    <row r="589" spans="3:17" s="2" customFormat="1" ht="15.75" x14ac:dyDescent="0.25">
      <c r="C589" s="1"/>
      <c r="D589" s="1"/>
      <c r="E589" s="1"/>
      <c r="F589" s="1"/>
      <c r="G589" s="15"/>
      <c r="H589" s="1"/>
      <c r="I589" s="20"/>
      <c r="J589" s="20"/>
      <c r="K589" s="14"/>
      <c r="L589" s="20"/>
      <c r="M589" s="14"/>
      <c r="N589" s="17"/>
      <c r="O589" s="17"/>
      <c r="P589" s="17"/>
      <c r="Q589" s="7"/>
    </row>
    <row r="590" spans="3:17" s="2" customFormat="1" ht="15.75" x14ac:dyDescent="0.25">
      <c r="C590" s="1"/>
      <c r="D590" s="1"/>
      <c r="E590" s="1"/>
      <c r="F590" s="1"/>
      <c r="G590" s="15"/>
      <c r="H590" s="1"/>
      <c r="I590" s="20"/>
      <c r="J590" s="20"/>
      <c r="K590" s="14"/>
      <c r="L590" s="20"/>
      <c r="M590" s="14"/>
      <c r="N590" s="17"/>
      <c r="O590" s="17"/>
      <c r="P590" s="17"/>
      <c r="Q590" s="7"/>
    </row>
    <row r="591" spans="3:17" s="2" customFormat="1" ht="15.75" x14ac:dyDescent="0.25">
      <c r="C591" s="1"/>
      <c r="D591" s="1"/>
      <c r="E591" s="1"/>
      <c r="F591" s="1"/>
      <c r="G591" s="15"/>
      <c r="H591" s="1"/>
      <c r="I591" s="20"/>
      <c r="J591" s="20"/>
      <c r="K591" s="14"/>
      <c r="L591" s="20"/>
      <c r="M591" s="14"/>
      <c r="N591" s="17"/>
      <c r="O591" s="17"/>
      <c r="P591" s="17"/>
      <c r="Q591" s="7"/>
    </row>
    <row r="592" spans="3:17" s="2" customFormat="1" ht="15.75" x14ac:dyDescent="0.25">
      <c r="C592" s="1"/>
      <c r="D592" s="1"/>
      <c r="E592" s="1"/>
      <c r="F592" s="1"/>
      <c r="G592" s="15"/>
      <c r="H592" s="1"/>
      <c r="I592" s="20"/>
      <c r="J592" s="20"/>
      <c r="K592" s="14"/>
      <c r="L592" s="20"/>
      <c r="M592" s="14"/>
      <c r="N592" s="17"/>
      <c r="O592" s="17"/>
      <c r="P592" s="17"/>
      <c r="Q592" s="7"/>
    </row>
    <row r="593" spans="3:17" s="2" customFormat="1" ht="15.75" x14ac:dyDescent="0.25">
      <c r="C593" s="1"/>
      <c r="D593" s="1"/>
      <c r="E593" s="1"/>
      <c r="F593" s="1"/>
      <c r="G593" s="15"/>
      <c r="H593" s="1"/>
      <c r="I593" s="20"/>
      <c r="J593" s="20"/>
      <c r="K593" s="14"/>
      <c r="L593" s="20"/>
      <c r="M593" s="14"/>
      <c r="N593" s="17"/>
      <c r="O593" s="17"/>
      <c r="P593" s="17"/>
      <c r="Q593" s="7"/>
    </row>
    <row r="594" spans="3:17" s="2" customFormat="1" ht="15.75" x14ac:dyDescent="0.25">
      <c r="C594" s="1"/>
      <c r="D594" s="1"/>
      <c r="E594" s="1"/>
      <c r="F594" s="1"/>
      <c r="G594" s="15"/>
      <c r="H594" s="1"/>
      <c r="I594" s="20"/>
      <c r="J594" s="20"/>
      <c r="K594" s="14"/>
      <c r="L594" s="20"/>
      <c r="M594" s="14"/>
      <c r="N594" s="17"/>
      <c r="O594" s="17"/>
      <c r="P594" s="17"/>
      <c r="Q594" s="7"/>
    </row>
    <row r="595" spans="3:17" s="2" customFormat="1" ht="15.75" x14ac:dyDescent="0.25">
      <c r="C595" s="1"/>
      <c r="D595" s="1"/>
      <c r="E595" s="1"/>
      <c r="F595" s="1"/>
      <c r="G595" s="15"/>
      <c r="H595" s="1"/>
      <c r="I595" s="20"/>
      <c r="J595" s="20"/>
      <c r="K595" s="14"/>
      <c r="L595" s="20"/>
      <c r="M595" s="14"/>
      <c r="N595" s="17"/>
      <c r="O595" s="17"/>
      <c r="P595" s="17"/>
      <c r="Q595" s="7"/>
    </row>
    <row r="596" spans="3:17" s="2" customFormat="1" ht="15.75" x14ac:dyDescent="0.25">
      <c r="C596" s="1"/>
      <c r="D596" s="1"/>
      <c r="E596" s="1"/>
      <c r="F596" s="1"/>
      <c r="G596" s="15"/>
      <c r="H596" s="1"/>
      <c r="I596" s="20"/>
      <c r="J596" s="20"/>
      <c r="K596" s="14"/>
      <c r="L596" s="20"/>
      <c r="M596" s="14"/>
      <c r="N596" s="17"/>
      <c r="O596" s="17"/>
      <c r="P596" s="17"/>
      <c r="Q596" s="7"/>
    </row>
    <row r="597" spans="3:17" s="2" customFormat="1" ht="15.75" x14ac:dyDescent="0.25">
      <c r="C597" s="1"/>
      <c r="D597" s="1"/>
      <c r="E597" s="1"/>
      <c r="F597" s="1"/>
      <c r="G597" s="15"/>
      <c r="H597" s="1"/>
      <c r="I597" s="20"/>
      <c r="J597" s="20"/>
      <c r="K597" s="14"/>
      <c r="L597" s="20"/>
      <c r="M597" s="14"/>
      <c r="N597" s="17"/>
      <c r="O597" s="17"/>
      <c r="P597" s="17"/>
      <c r="Q597" s="7"/>
    </row>
    <row r="598" spans="3:17" s="2" customFormat="1" ht="15.75" x14ac:dyDescent="0.25">
      <c r="C598" s="1"/>
      <c r="D598" s="1"/>
      <c r="E598" s="1"/>
      <c r="F598" s="1"/>
      <c r="G598" s="15"/>
      <c r="H598" s="1"/>
      <c r="I598" s="20"/>
      <c r="J598" s="20"/>
      <c r="K598" s="14"/>
      <c r="L598" s="20"/>
      <c r="M598" s="14"/>
      <c r="N598" s="17"/>
      <c r="O598" s="17"/>
      <c r="P598" s="17"/>
      <c r="Q598" s="7"/>
    </row>
    <row r="599" spans="3:17" s="2" customFormat="1" ht="15.75" x14ac:dyDescent="0.25">
      <c r="C599" s="1"/>
      <c r="D599" s="1"/>
      <c r="E599" s="1"/>
      <c r="F599" s="1"/>
      <c r="G599" s="15"/>
      <c r="H599" s="1"/>
      <c r="I599" s="20"/>
      <c r="J599" s="20"/>
      <c r="K599" s="14"/>
      <c r="L599" s="20"/>
      <c r="M599" s="14"/>
      <c r="N599" s="17"/>
      <c r="O599" s="17"/>
      <c r="P599" s="17"/>
      <c r="Q599" s="7"/>
    </row>
    <row r="600" spans="3:17" s="2" customFormat="1" ht="15.75" x14ac:dyDescent="0.25">
      <c r="C600" s="1"/>
      <c r="D600" s="1"/>
      <c r="E600" s="1"/>
      <c r="F600" s="1"/>
      <c r="G600" s="15"/>
      <c r="H600" s="1"/>
      <c r="I600" s="20"/>
      <c r="J600" s="20"/>
      <c r="K600" s="14"/>
      <c r="L600" s="20"/>
      <c r="M600" s="14"/>
      <c r="N600" s="17"/>
      <c r="O600" s="17"/>
      <c r="P600" s="17"/>
      <c r="Q600" s="7"/>
    </row>
  </sheetData>
  <autoFilter ref="B4:Q309">
    <filterColumn colId="5">
      <filters>
        <filter val="Ortiz"/>
      </filters>
    </filterColumn>
  </autoFilter>
  <mergeCells count="2">
    <mergeCell ref="F1:M1"/>
    <mergeCell ref="G3:H3"/>
  </mergeCells>
  <conditionalFormatting sqref="N129:N135 N145:N1048576 N1:N118">
    <cfRule type="cellIs" dxfId="4" priority="7" operator="between">
      <formula>-0.001</formula>
      <formula>-999999999</formula>
    </cfRule>
  </conditionalFormatting>
  <conditionalFormatting sqref="N119:N128">
    <cfRule type="cellIs" dxfId="3" priority="5" operator="between">
      <formula>-0.001</formula>
      <formula>-999999999</formula>
    </cfRule>
  </conditionalFormatting>
  <conditionalFormatting sqref="N142:N144">
    <cfRule type="cellIs" dxfId="2" priority="4" operator="between">
      <formula>-0.001</formula>
      <formula>-999999999</formula>
    </cfRule>
  </conditionalFormatting>
  <conditionalFormatting sqref="N139:N141">
    <cfRule type="cellIs" dxfId="1" priority="3" operator="between">
      <formula>-0.001</formula>
      <formula>-999999999</formula>
    </cfRule>
  </conditionalFormatting>
  <conditionalFormatting sqref="N136:N138">
    <cfRule type="cellIs" dxfId="0" priority="2" operator="between">
      <formula>-0.001</formula>
      <formula>-999999999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2"/>
  <sheetViews>
    <sheetView showGridLines="0" workbookViewId="0">
      <selection activeCell="D31" sqref="D31"/>
    </sheetView>
  </sheetViews>
  <sheetFormatPr defaultRowHeight="15" x14ac:dyDescent="0.25"/>
  <cols>
    <col min="1" max="1" width="2.42578125" customWidth="1"/>
    <col min="2" max="2" width="14.7109375" style="15" customWidth="1"/>
    <col min="3" max="3" width="10.7109375" style="15" customWidth="1"/>
    <col min="4" max="4" width="16.7109375" style="1" customWidth="1"/>
    <col min="5" max="5" width="2.42578125" customWidth="1"/>
  </cols>
  <sheetData>
    <row r="1" spans="2:11" ht="15.75" thickBot="1" x14ac:dyDescent="0.3"/>
    <row r="2" spans="2:11" x14ac:dyDescent="0.25">
      <c r="B2" s="144" t="s">
        <v>68</v>
      </c>
      <c r="C2" s="144" t="s">
        <v>2</v>
      </c>
      <c r="D2" s="146" t="s">
        <v>69</v>
      </c>
    </row>
    <row r="3" spans="2:11" ht="15.75" customHeight="1" thickBot="1" x14ac:dyDescent="0.3">
      <c r="B3" s="145"/>
      <c r="C3" s="145"/>
      <c r="D3" s="147"/>
    </row>
    <row r="4" spans="2:11" x14ac:dyDescent="0.25">
      <c r="B4" s="148" t="s">
        <v>67</v>
      </c>
      <c r="C4" s="39" t="s">
        <v>16</v>
      </c>
      <c r="D4" s="36">
        <f>SUM(SUMIF('Raw Data'!H5:H500,{"B"}, 'Raw Data'!K5:K500))/SUM(COUNTIF('Raw Data'!H5:H500,{"B"}))</f>
        <v>0.45264932933165319</v>
      </c>
      <c r="K4" s="6">
        <f>SUM('Product Margin Analysis'!D4)</f>
        <v>0.45264932933165319</v>
      </c>
    </row>
    <row r="5" spans="2:11" ht="15.75" thickBot="1" x14ac:dyDescent="0.3">
      <c r="B5" s="149"/>
      <c r="C5" s="40" t="s">
        <v>18</v>
      </c>
      <c r="D5" s="38">
        <f>SUM(SUMIF('Raw Data'!H5:H500,{"K"}, 'Raw Data'!K5:K500))/SUM(COUNTIF('Raw Data'!H5:H500,{"K"}))</f>
        <v>0.4546760072282871</v>
      </c>
    </row>
    <row r="6" spans="2:11" x14ac:dyDescent="0.25">
      <c r="B6" s="150" t="s">
        <v>66</v>
      </c>
      <c r="C6" s="39" t="s">
        <v>30</v>
      </c>
      <c r="D6" s="36">
        <f>SUM(SUMIF('Raw Data'!H5:H500,{"FP","FP-LC","FP-IR","FP-VP","FP-OP"}, 'Raw Data'!K5:K500))/SUM(COUNTIF('Raw Data'!H5:H500,{"FP","FP-LC","FP-IR","FP-VP","FP-OP"}))</f>
        <v>0.54212624349998939</v>
      </c>
    </row>
    <row r="7" spans="2:11" x14ac:dyDescent="0.25">
      <c r="B7" s="151"/>
      <c r="C7" s="34" t="s">
        <v>14</v>
      </c>
      <c r="D7" s="37">
        <f>SUM(SUMIF('Raw Data'!H5:H500,{"IR","IR-LC","IR-FP","IR-VP","IR-OP","IR-Sky"}, 'Raw Data'!K5:K500))/SUM(COUNTIF('Raw Data'!H5:H500,{"IR","IR-LC","IR-FP","IR-VP","IR-OP","IR-Sky"}))</f>
        <v>0.518462821021767</v>
      </c>
    </row>
    <row r="8" spans="2:11" x14ac:dyDescent="0.25">
      <c r="B8" s="151"/>
      <c r="C8" s="34" t="s">
        <v>19</v>
      </c>
      <c r="D8" s="37">
        <f>SUM(SUMIF('Raw Data'!H5:H500,{"LC","LC-IR","LC-FP","LC-VP","LC-OP","LC-Sky"}, 'Raw Data'!K5:K500))/SUM(COUNTIF('Raw Data'!H5:H500,{"LC","LC-IR","LC-FP","LC-VP","LC-OP","LC-Sky"}))</f>
        <v>0.50634367437343264</v>
      </c>
    </row>
    <row r="9" spans="2:11" x14ac:dyDescent="0.25">
      <c r="B9" s="151"/>
      <c r="C9" s="34" t="s">
        <v>21</v>
      </c>
      <c r="D9" s="37">
        <f>SUM(SUMIF('Raw Data'!H5:H500,{"OP","OP-IR","OP-FP","OP-VP","OP-LC"}, 'Raw Data'!K5:K500))/SUM(COUNTIF('Raw Data'!H5:H500,{"OP","OP-IR","OP-FP","OP-VP","OP-LC"}))</f>
        <v>0.4888550922063139</v>
      </c>
    </row>
    <row r="10" spans="2:11" ht="15.75" thickBot="1" x14ac:dyDescent="0.3">
      <c r="B10" s="152"/>
      <c r="C10" s="40" t="s">
        <v>24</v>
      </c>
      <c r="D10" s="38">
        <f>SUM(SUMIF('Raw Data'!H5:H500,{"VP","VP-IR","VP-FP","VP-OP","VP-LC"}, 'Raw Data'!K5:K500))/SUM(COUNTIF('Raw Data'!H5:H500,{"VP","VP-IR","VP-FP","VP-OP","VP-LC"}))</f>
        <v>0.54324763133876341</v>
      </c>
    </row>
    <row r="11" spans="2:11" x14ac:dyDescent="0.25">
      <c r="B11" s="153" t="s">
        <v>64</v>
      </c>
      <c r="C11" s="39" t="s">
        <v>61</v>
      </c>
      <c r="D11" s="36">
        <f>SUM(SUMIF('Raw Data'!H5:H500,{"SR-206","SR-206-Sky"}, 'Raw Data'!K5:K500))/SUM(COUNTIF('Raw Data'!H5:H500,{"SR-206","SR-206-Sky"}))</f>
        <v>0.49777090680637553</v>
      </c>
    </row>
    <row r="12" spans="2:11" x14ac:dyDescent="0.25">
      <c r="B12" s="154"/>
      <c r="C12" s="34" t="s">
        <v>60</v>
      </c>
      <c r="D12" s="37">
        <f>SUM(SUMIF('Raw Data'!H5:H500,{"SR-306","SR-306-Sky"}, 'Raw Data'!K5:K500))/SUM(COUNTIF('Raw Data'!H5:H500,{"SR-306","SR-306-Sky"}))</f>
        <v>0.52865113956105148</v>
      </c>
    </row>
    <row r="13" spans="2:11" x14ac:dyDescent="0.25">
      <c r="B13" s="154"/>
      <c r="C13" s="34" t="s">
        <v>62</v>
      </c>
      <c r="D13" s="37">
        <f>SUM(SUMIF('Raw Data'!H5:H500,{"SR-406","SR-406-Sky"}, 'Raw Data'!K5:K500))/SUM(COUNTIF('Raw Data'!H5:H500,{"SR-406","SR-406-Sky"}))</f>
        <v>0.54509911058398341</v>
      </c>
    </row>
    <row r="14" spans="2:11" ht="15.75" thickBot="1" x14ac:dyDescent="0.3">
      <c r="B14" s="155"/>
      <c r="C14" s="34" t="s">
        <v>59</v>
      </c>
      <c r="D14" s="37">
        <f>SUM(SUMIF('Raw Data'!H5:H500,{"SR-VV"}, 'Raw Data'!K5:K500))/SUM(COUNTIF('Raw Data'!H5:H500,{"SR-VV"}))</f>
        <v>0.59579183166547256</v>
      </c>
    </row>
    <row r="15" spans="2:11" x14ac:dyDescent="0.25">
      <c r="B15" s="139" t="s">
        <v>65</v>
      </c>
      <c r="C15" s="39" t="s">
        <v>104</v>
      </c>
      <c r="D15" s="37">
        <f>SUM(SUMIF('Raw Data'!H4:H499,{"D"}, 'Raw Data'!K4:K499))/SUM(COUNTIF('Raw Data'!H4:H499,{"D"}))</f>
        <v>0.45479662014549571</v>
      </c>
    </row>
    <row r="16" spans="2:11" x14ac:dyDescent="0.25">
      <c r="B16" s="140"/>
      <c r="C16" s="35" t="s">
        <v>13</v>
      </c>
      <c r="D16" s="37">
        <f>SUM(SUMIF('Raw Data'!H5:H500,{"W (A)"}, 'Raw Data'!K5:K500))/SUM(COUNTIF('Raw Data'!H5:H500,{"W (A)"}))</f>
        <v>0.54518748143732021</v>
      </c>
    </row>
    <row r="17" spans="2:4" ht="15.75" thickBot="1" x14ac:dyDescent="0.3">
      <c r="B17" s="141"/>
      <c r="C17" s="40" t="s">
        <v>20</v>
      </c>
      <c r="D17" s="41">
        <f>SUM(SUMIF('Raw Data'!H5:H500,{"W"}, 'Raw Data'!K5:K500))/SUM(COUNTIF('Raw Data'!H5:H500,{"W"}))</f>
        <v>0.4820556827259862</v>
      </c>
    </row>
    <row r="18" spans="2:4" ht="15.75" customHeight="1" thickBot="1" x14ac:dyDescent="0.3">
      <c r="B18" s="142" t="s">
        <v>63</v>
      </c>
      <c r="C18" s="143"/>
      <c r="D18" s="32">
        <f>'Raw Data'!$K$3</f>
        <v>0.48760035240720567</v>
      </c>
    </row>
    <row r="19" spans="2:4" ht="15.75" thickBot="1" x14ac:dyDescent="0.3"/>
    <row r="20" spans="2:4" ht="15" customHeight="1" x14ac:dyDescent="0.25">
      <c r="B20" s="164" t="s">
        <v>68</v>
      </c>
      <c r="C20" s="146"/>
      <c r="D20" s="144" t="s">
        <v>83</v>
      </c>
    </row>
    <row r="21" spans="2:4" ht="15.75" customHeight="1" thickBot="1" x14ac:dyDescent="0.3">
      <c r="B21" s="165"/>
      <c r="C21" s="147"/>
      <c r="D21" s="145"/>
    </row>
    <row r="22" spans="2:4" ht="15.75" thickBot="1" x14ac:dyDescent="0.3">
      <c r="B22" s="162" t="s">
        <v>440</v>
      </c>
      <c r="C22" s="163"/>
      <c r="D22" s="84">
        <f>D4</f>
        <v>0.45264932933165319</v>
      </c>
    </row>
    <row r="23" spans="2:4" ht="15.75" thickBot="1" x14ac:dyDescent="0.3">
      <c r="B23" s="162" t="s">
        <v>441</v>
      </c>
      <c r="C23" s="163"/>
      <c r="D23" s="84">
        <f>D5</f>
        <v>0.4546760072282871</v>
      </c>
    </row>
    <row r="24" spans="2:4" ht="15.75" thickBot="1" x14ac:dyDescent="0.3">
      <c r="B24" s="156" t="s">
        <v>66</v>
      </c>
      <c r="C24" s="157"/>
      <c r="D24" s="84">
        <f>AVERAGE(D6:D10)</f>
        <v>0.51980709248805324</v>
      </c>
    </row>
    <row r="25" spans="2:4" ht="15.75" thickBot="1" x14ac:dyDescent="0.3">
      <c r="B25" s="158" t="s">
        <v>64</v>
      </c>
      <c r="C25" s="159"/>
      <c r="D25" s="84">
        <f>AVERAGE(D11:D14)</f>
        <v>0.54182824715422073</v>
      </c>
    </row>
    <row r="26" spans="2:4" ht="15.75" thickBot="1" x14ac:dyDescent="0.3">
      <c r="B26" s="160" t="s">
        <v>65</v>
      </c>
      <c r="C26" s="161"/>
      <c r="D26" s="84">
        <f>AVERAGE(D15:D17)</f>
        <v>0.49401326143626739</v>
      </c>
    </row>
    <row r="27" spans="2:4" ht="16.5" thickBot="1" x14ac:dyDescent="0.3">
      <c r="B27" s="142" t="s">
        <v>63</v>
      </c>
      <c r="C27" s="143"/>
      <c r="D27" s="32">
        <f>'Raw Data'!$K$3</f>
        <v>0.48760035240720567</v>
      </c>
    </row>
    <row r="28" spans="2:4" x14ac:dyDescent="0.25">
      <c r="B28" s="77"/>
    </row>
    <row r="29" spans="2:4" x14ac:dyDescent="0.25">
      <c r="B29" s="77"/>
    </row>
    <row r="34" spans="2:28" x14ac:dyDescent="0.25">
      <c r="B34" s="77"/>
    </row>
    <row r="35" spans="2:28" x14ac:dyDescent="0.25">
      <c r="B35" s="77"/>
    </row>
    <row r="36" spans="2:28" ht="15.75" thickBot="1" x14ac:dyDescent="0.3"/>
    <row r="37" spans="2:28" x14ac:dyDescent="0.25">
      <c r="F37" s="81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60"/>
    </row>
    <row r="38" spans="2:28" x14ac:dyDescent="0.25">
      <c r="F38" s="8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3"/>
    </row>
    <row r="39" spans="2:28" x14ac:dyDescent="0.25">
      <c r="F39" s="8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3"/>
    </row>
    <row r="40" spans="2:28" x14ac:dyDescent="0.25">
      <c r="F40" s="8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3"/>
    </row>
    <row r="41" spans="2:28" x14ac:dyDescent="0.25">
      <c r="F41" s="8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3"/>
    </row>
    <row r="42" spans="2:28" x14ac:dyDescent="0.25">
      <c r="F42" s="8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3"/>
    </row>
    <row r="43" spans="2:28" x14ac:dyDescent="0.25">
      <c r="F43" s="8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3"/>
    </row>
    <row r="44" spans="2:28" x14ac:dyDescent="0.25">
      <c r="F44" s="8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3"/>
    </row>
    <row r="45" spans="2:28" x14ac:dyDescent="0.25">
      <c r="F45" s="8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3"/>
    </row>
    <row r="46" spans="2:28" x14ac:dyDescent="0.25">
      <c r="F46" s="8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3"/>
    </row>
    <row r="47" spans="2:28" x14ac:dyDescent="0.25">
      <c r="F47" s="8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3"/>
    </row>
    <row r="48" spans="2:28" x14ac:dyDescent="0.25">
      <c r="F48" s="8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3"/>
    </row>
    <row r="49" spans="6:28" x14ac:dyDescent="0.25">
      <c r="F49" s="8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3"/>
    </row>
    <row r="50" spans="6:28" x14ac:dyDescent="0.25">
      <c r="F50" s="8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3"/>
    </row>
    <row r="51" spans="6:28" x14ac:dyDescent="0.25">
      <c r="F51" s="8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3"/>
    </row>
    <row r="52" spans="6:28" x14ac:dyDescent="0.25">
      <c r="F52" s="8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3"/>
    </row>
    <row r="53" spans="6:28" x14ac:dyDescent="0.25">
      <c r="F53" s="8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3"/>
    </row>
    <row r="54" spans="6:28" x14ac:dyDescent="0.25">
      <c r="F54" s="8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3"/>
    </row>
    <row r="55" spans="6:28" x14ac:dyDescent="0.25">
      <c r="F55" s="8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3"/>
    </row>
    <row r="56" spans="6:28" x14ac:dyDescent="0.25">
      <c r="F56" s="8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3"/>
    </row>
    <row r="57" spans="6:28" x14ac:dyDescent="0.25">
      <c r="F57" s="8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3"/>
    </row>
    <row r="58" spans="6:28" x14ac:dyDescent="0.25">
      <c r="F58" s="8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3"/>
    </row>
    <row r="59" spans="6:28" x14ac:dyDescent="0.25">
      <c r="F59" s="8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3"/>
    </row>
    <row r="60" spans="6:28" x14ac:dyDescent="0.25">
      <c r="F60" s="8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3"/>
    </row>
    <row r="61" spans="6:28" x14ac:dyDescent="0.25">
      <c r="F61" s="8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3"/>
    </row>
    <row r="62" spans="6:28" x14ac:dyDescent="0.25">
      <c r="F62" s="8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3"/>
    </row>
    <row r="63" spans="6:28" x14ac:dyDescent="0.25">
      <c r="F63" s="8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3"/>
    </row>
    <row r="64" spans="6:28" x14ac:dyDescent="0.25">
      <c r="F64" s="8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3"/>
    </row>
    <row r="65" spans="6:28" x14ac:dyDescent="0.25">
      <c r="F65" s="8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3"/>
    </row>
    <row r="66" spans="6:28" x14ac:dyDescent="0.25">
      <c r="F66" s="8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3"/>
    </row>
    <row r="67" spans="6:28" x14ac:dyDescent="0.25">
      <c r="F67" s="8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3"/>
    </row>
    <row r="68" spans="6:28" x14ac:dyDescent="0.25">
      <c r="F68" s="8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3"/>
    </row>
    <row r="69" spans="6:28" x14ac:dyDescent="0.25">
      <c r="F69" s="8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3"/>
    </row>
    <row r="70" spans="6:28" x14ac:dyDescent="0.25">
      <c r="F70" s="8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3"/>
    </row>
    <row r="71" spans="6:28" x14ac:dyDescent="0.25">
      <c r="F71" s="8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3"/>
    </row>
    <row r="72" spans="6:28" ht="15.75" thickBot="1" x14ac:dyDescent="0.3">
      <c r="F72" s="83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8"/>
    </row>
  </sheetData>
  <mergeCells count="16">
    <mergeCell ref="B24:C24"/>
    <mergeCell ref="B25:C25"/>
    <mergeCell ref="B26:C26"/>
    <mergeCell ref="B27:C27"/>
    <mergeCell ref="D20:D21"/>
    <mergeCell ref="B22:C22"/>
    <mergeCell ref="B20:C21"/>
    <mergeCell ref="B23:C23"/>
    <mergeCell ref="B15:B17"/>
    <mergeCell ref="B18:C18"/>
    <mergeCell ref="B2:B3"/>
    <mergeCell ref="C2:C3"/>
    <mergeCell ref="D2:D3"/>
    <mergeCell ref="B4:B5"/>
    <mergeCell ref="B6:B10"/>
    <mergeCell ref="B11:B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showGridLines="0" workbookViewId="0">
      <selection activeCell="D30" sqref="D30"/>
    </sheetView>
  </sheetViews>
  <sheetFormatPr defaultRowHeight="15" x14ac:dyDescent="0.25"/>
  <cols>
    <col min="1" max="1" width="2.42578125" customWidth="1"/>
    <col min="2" max="2" width="14.7109375" style="15" customWidth="1"/>
    <col min="3" max="3" width="10.7109375" style="15" customWidth="1"/>
    <col min="4" max="5" width="16.7109375" style="1" customWidth="1"/>
    <col min="6" max="6" width="2.42578125" customWidth="1"/>
  </cols>
  <sheetData>
    <row r="1" spans="1:12" ht="15.75" thickBot="1" x14ac:dyDescent="0.3"/>
    <row r="2" spans="1:12" x14ac:dyDescent="0.25">
      <c r="B2" s="144" t="s">
        <v>68</v>
      </c>
      <c r="C2" s="144" t="s">
        <v>2</v>
      </c>
      <c r="D2" s="146" t="s">
        <v>3</v>
      </c>
      <c r="E2" s="146" t="s">
        <v>70</v>
      </c>
    </row>
    <row r="3" spans="1:12" ht="15.75" customHeight="1" thickBot="1" x14ac:dyDescent="0.3">
      <c r="B3" s="145"/>
      <c r="C3" s="145"/>
      <c r="D3" s="147"/>
      <c r="E3" s="147"/>
    </row>
    <row r="4" spans="1:12" x14ac:dyDescent="0.25">
      <c r="A4" s="50"/>
      <c r="B4" s="148" t="s">
        <v>67</v>
      </c>
      <c r="C4" s="39" t="s">
        <v>16</v>
      </c>
      <c r="D4" s="42">
        <f>SUM(SUMIF('Raw Data'!$H$5:$H$500,{"B"}, 'Raw Data'!$I$5:$I$500))</f>
        <v>712099.82611614396</v>
      </c>
      <c r="E4" s="42">
        <f>SUM(SUMIF('Raw Data'!$H$5:$H$500,{"B"}, 'Raw Data'!$I$5:$I$500))/SUM(COUNTIF('Raw Data'!$H$5:$H$500,{"B"}))</f>
        <v>9013.9218495714431</v>
      </c>
      <c r="L4" s="6">
        <f>SUM('Product Revenue Analysis'!D4)</f>
        <v>712099.82611614396</v>
      </c>
    </row>
    <row r="5" spans="1:12" ht="15.75" thickBot="1" x14ac:dyDescent="0.3">
      <c r="A5" s="50"/>
      <c r="B5" s="149"/>
      <c r="C5" s="40" t="s">
        <v>18</v>
      </c>
      <c r="D5" s="45">
        <f>SUM(SUMIF('Raw Data'!$H$5:$H$500,{"K"}, 'Raw Data'!$I$5:$I$500))</f>
        <v>687114.86240112863</v>
      </c>
      <c r="E5" s="45">
        <f>SUM(SUMIF('Raw Data'!$H$5:$H$500,{"K"}, 'Raw Data'!$I$5:$I$500))/SUM(COUNTIF('Raw Data'!$H$5:$H$500,{"K"}))</f>
        <v>25448.698607449209</v>
      </c>
    </row>
    <row r="6" spans="1:12" x14ac:dyDescent="0.25">
      <c r="A6" s="50"/>
      <c r="B6" s="150" t="s">
        <v>66</v>
      </c>
      <c r="C6" s="39" t="s">
        <v>30</v>
      </c>
      <c r="D6" s="42">
        <f>SUM(SUMIF('Raw Data'!$H$5:$H$500,{"FP","FP-LC","FP-IR","FP-VP","FP-OP"}, 'Raw Data'!$I$5:$I$500))</f>
        <v>45172.29</v>
      </c>
      <c r="E6" s="42">
        <f>SUM(SUMIF('Raw Data'!$H$5:$H$500,{"FP","FP-LC","FP-IR","FP-VP","FP-OP"}, 'Raw Data'!$I$5:$I$500))/SUM(COUNTIF('Raw Data'!$H$5:$H$500,{"FP","FP-LC","FP-IR","FP-VP","FP-OP"}))</f>
        <v>11293.0725</v>
      </c>
    </row>
    <row r="7" spans="1:12" x14ac:dyDescent="0.25">
      <c r="A7" s="50"/>
      <c r="B7" s="151"/>
      <c r="C7" s="34" t="s">
        <v>14</v>
      </c>
      <c r="D7" s="44">
        <f>SUM(SUMIF('Raw Data'!$H$5:$H$500,{"IR","IR-LC","IR-FP","IR-VP","IR-OP","IR-Sky"}, 'Raw Data'!$I$5:$I$500))</f>
        <v>440582.45333990536</v>
      </c>
      <c r="E7" s="44">
        <f>SUM(SUMIF('Raw Data'!$H$5:$H$500,{"IR","IR-LC","IR-FP","IR-VP","IR-OP","IR-Sky"}, 'Raw Data'!$I$5:$I$500))/SUM(COUNTIF('Raw Data'!$H$5:$H$500,{"IR","IR-LC","IR-FP","IR-VP","IR-OP","IR-Sky"}))</f>
        <v>11907.633874051497</v>
      </c>
    </row>
    <row r="8" spans="1:12" x14ac:dyDescent="0.25">
      <c r="A8" s="50"/>
      <c r="B8" s="151"/>
      <c r="C8" s="34" t="s">
        <v>19</v>
      </c>
      <c r="D8" s="44">
        <f>SUM(SUMIF('Raw Data'!$H$5:$H$500,{"LC","LC-IR","LC-FP","LC-VP","LC-OP","LC-Sky"}, 'Raw Data'!$I$5:$I$500))</f>
        <v>165091.58331488841</v>
      </c>
      <c r="E8" s="45">
        <f>SUM(SUMIF('Raw Data'!$H$5:$H$500,{"LC","LC-IR","LC-FP","LC-VP","LC-OP","LC-Sky"}, 'Raw Data'!$I$5:$I$500))/SUM(COUNTIF('Raw Data'!$H$5:$H$500,{"LC","LC-IR","LC-FP","LC-VP","LC-OP","LC-Sky"}))</f>
        <v>7177.8949267342787</v>
      </c>
    </row>
    <row r="9" spans="1:12" x14ac:dyDescent="0.25">
      <c r="A9" s="50"/>
      <c r="B9" s="151"/>
      <c r="C9" s="34" t="s">
        <v>21</v>
      </c>
      <c r="D9" s="44">
        <f>SUM(SUMIF('Raw Data'!$H$5:$H$500,{"OP","OP-IR"}, 'Raw Data'!$I$5:$I$500))</f>
        <v>98546.4</v>
      </c>
      <c r="E9" s="44">
        <f>SUM(SUMIF('Raw Data'!$H$5:$H$500,{"OP","OP-IR"}, 'Raw Data'!$I$5:$I$500))/SUM(COUNTIF('Raw Data'!$H$5:$H$500,{"OP","OP-IR"}))</f>
        <v>16424.399999999998</v>
      </c>
    </row>
    <row r="10" spans="1:12" ht="15.75" thickBot="1" x14ac:dyDescent="0.3">
      <c r="A10" s="50"/>
      <c r="B10" s="152"/>
      <c r="C10" s="40" t="s">
        <v>24</v>
      </c>
      <c r="D10" s="45">
        <f>SUM(SUMIF('Raw Data'!$H$5:$H$500,{"VP","VP-IR","VP-FP","VP-OP","VP-LC"}, 'Raw Data'!$I$5:$I$500))</f>
        <v>110551.50999999998</v>
      </c>
      <c r="E10" s="43">
        <f>SUM(SUMIF('Raw Data'!$H$5:$H$500,{"VP","VP-IR","VP-FP","VP-OP","VP-LC"}, 'Raw Data'!$I$5:$I$500))/SUM(COUNTIF('Raw Data'!$H$5:$H$500,{"VP","VP-IR","VP-FP","VP-OP","VP-LC"}))</f>
        <v>13818.938749999998</v>
      </c>
    </row>
    <row r="11" spans="1:12" x14ac:dyDescent="0.25">
      <c r="A11" s="50"/>
      <c r="B11" s="153" t="s">
        <v>64</v>
      </c>
      <c r="C11" s="39" t="s">
        <v>61</v>
      </c>
      <c r="D11" s="42">
        <f>SUM(SUMIF('Raw Data'!$H$5:$H$500,{"SR-206","SR-206-Sky"}, 'Raw Data'!$I$5:$I$500))</f>
        <v>68922.364484356891</v>
      </c>
      <c r="E11" s="42">
        <f>SUM(SUMIF('Raw Data'!$H$5:$H$500,{"SR-206","SR-206-Sky"}, 'Raw Data'!$I$5:$I$500))/SUM(COUNTIF('Raw Data'!$H$5:$H$500,{"SR-206","SR-206-Sky"}))</f>
        <v>34461.182242178445</v>
      </c>
    </row>
    <row r="12" spans="1:12" x14ac:dyDescent="0.25">
      <c r="A12" s="50"/>
      <c r="B12" s="154"/>
      <c r="C12" s="34" t="s">
        <v>60</v>
      </c>
      <c r="D12" s="44">
        <f>SUM(SUMIF('Raw Data'!$H$5:$H$500,{"SR-306","SR-306-Sky"}, 'Raw Data'!$I$5:$I$500))</f>
        <v>252804.77416059325</v>
      </c>
      <c r="E12" s="44">
        <f>SUM(SUMIF('Raw Data'!$H$5:$H$500,{"SR-306","SR-306-Sky"}, 'Raw Data'!$I$5:$I$500))/SUM(COUNTIF('Raw Data'!$H$5:$H$500,{"SR-306","SR-306-Sky"}))</f>
        <v>36114.967737227606</v>
      </c>
    </row>
    <row r="13" spans="1:12" x14ac:dyDescent="0.25">
      <c r="A13" s="50"/>
      <c r="B13" s="154"/>
      <c r="C13" s="34" t="s">
        <v>62</v>
      </c>
      <c r="D13" s="44">
        <f>SUM(SUMIF('Raw Data'!$H$5:$H$500,{"SR-406","SR-406-Sky"}, 'Raw Data'!$I$5:$I$500))</f>
        <v>152802.51</v>
      </c>
      <c r="E13" s="44">
        <f>SUM(SUMIF('Raw Data'!$H$5:$H$500,{"SR-406","SR-406-Sky"}, 'Raw Data'!$I$5:$I$500))/SUM(COUNTIF('Raw Data'!$H$5:$H$500,{"SR-406","SR-406-Sky"}))</f>
        <v>50934.170000000006</v>
      </c>
    </row>
    <row r="14" spans="1:12" ht="15.75" thickBot="1" x14ac:dyDescent="0.3">
      <c r="A14" s="50"/>
      <c r="B14" s="155"/>
      <c r="C14" s="34" t="s">
        <v>59</v>
      </c>
      <c r="D14" s="44">
        <f>SUM(SUMIF('Raw Data'!$H$5:$H$500,{"SR-VV"}, 'Raw Data'!$I$5:$I$500))</f>
        <v>61538.13296639629</v>
      </c>
      <c r="E14" s="44">
        <f>SUM(SUMIF('Raw Data'!$H$5:$H$500,{"SR-VV"}, 'Raw Data'!$I$5:$I$500))/SUM(COUNTIF('Raw Data'!$H$5:$H$500,{"SR-VV"}))</f>
        <v>10256.355494399382</v>
      </c>
    </row>
    <row r="15" spans="1:12" x14ac:dyDescent="0.25">
      <c r="B15" s="139" t="s">
        <v>65</v>
      </c>
      <c r="C15" s="39" t="s">
        <v>104</v>
      </c>
      <c r="D15" s="42">
        <f>SUM(SUMIF('Raw Data'!$H$5:$H$500,{"D"}, 'Raw Data'!$I$5:$I$500))</f>
        <v>48904.718293870203</v>
      </c>
      <c r="E15" s="44">
        <f>SUM(SUMIF('Raw Data'!$H$5:$H$500,{"D"}, 'Raw Data'!$I$5:$I$500))/SUM(COUNTIF('Raw Data'!$H$5:$H$500,{"D"}))</f>
        <v>6113.0897867337753</v>
      </c>
    </row>
    <row r="16" spans="1:12" x14ac:dyDescent="0.25">
      <c r="B16" s="140"/>
      <c r="C16" s="35" t="s">
        <v>13</v>
      </c>
      <c r="D16" s="44">
        <f>SUM(SUMIF('Raw Data'!$H$5:$H$500,{"W (A)"}, 'Raw Data'!$I$5:$I$500))</f>
        <v>398055.51313121978</v>
      </c>
      <c r="E16" s="44">
        <f>SUM(SUMIF('Raw Data'!$H$5:$H$500,{"W (A)"}, 'Raw Data'!$I$5:$I$500))/SUM(COUNTIF('Raw Data'!$H$5:$H$500,{"W (A)"}))</f>
        <v>8845.6780695826619</v>
      </c>
    </row>
    <row r="17" spans="2:5" ht="15.75" thickBot="1" x14ac:dyDescent="0.3">
      <c r="B17" s="141"/>
      <c r="C17" s="40" t="s">
        <v>20</v>
      </c>
      <c r="D17" s="45">
        <f>SUM(SUMIF('Raw Data'!$H$5:$H$500,{"W"}, 'Raw Data'!$I$5:$I$500))</f>
        <v>405524.47168661433</v>
      </c>
      <c r="E17" s="44">
        <f>SUM(SUMIF('Raw Data'!$H$5:$H$500,{"W"}, 'Raw Data'!$I$5:$I$500))/SUM(COUNTIF('Raw Data'!$H$5:$H$500,{"W"}))</f>
        <v>16220.978867464573</v>
      </c>
    </row>
    <row r="18" spans="2:5" ht="15.75" customHeight="1" thickBot="1" x14ac:dyDescent="0.3">
      <c r="B18" s="142" t="s">
        <v>63</v>
      </c>
      <c r="C18" s="143"/>
      <c r="D18" s="49">
        <f>SUM(D4:D17)</f>
        <v>3647711.4098951174</v>
      </c>
      <c r="E18" s="49">
        <f>AVERAGE(E4:E17)</f>
        <v>18430.784478956633</v>
      </c>
    </row>
    <row r="19" spans="2:5" ht="15.75" thickBot="1" x14ac:dyDescent="0.3"/>
    <row r="20" spans="2:5" ht="15" customHeight="1" x14ac:dyDescent="0.25">
      <c r="B20" s="164" t="s">
        <v>82</v>
      </c>
      <c r="C20" s="146"/>
      <c r="D20" s="146" t="s">
        <v>3</v>
      </c>
      <c r="E20" s="146" t="s">
        <v>70</v>
      </c>
    </row>
    <row r="21" spans="2:5" ht="15.75" customHeight="1" thickBot="1" x14ac:dyDescent="0.3">
      <c r="B21" s="165"/>
      <c r="C21" s="147"/>
      <c r="D21" s="147"/>
      <c r="E21" s="147"/>
    </row>
    <row r="22" spans="2:5" ht="15.75" thickBot="1" x14ac:dyDescent="0.3">
      <c r="B22" s="162" t="s">
        <v>440</v>
      </c>
      <c r="C22" s="167"/>
      <c r="D22" s="80">
        <f>D4</f>
        <v>712099.82611614396</v>
      </c>
      <c r="E22" s="80">
        <f>E4</f>
        <v>9013.9218495714431</v>
      </c>
    </row>
    <row r="23" spans="2:5" ht="15.75" thickBot="1" x14ac:dyDescent="0.3">
      <c r="B23" s="162" t="s">
        <v>441</v>
      </c>
      <c r="C23" s="167"/>
      <c r="D23" s="80">
        <f>D5</f>
        <v>687114.86240112863</v>
      </c>
      <c r="E23" s="80">
        <f>E5</f>
        <v>25448.698607449209</v>
      </c>
    </row>
    <row r="24" spans="2:5" ht="15.75" thickBot="1" x14ac:dyDescent="0.3">
      <c r="B24" s="168" t="s">
        <v>66</v>
      </c>
      <c r="C24" s="169"/>
      <c r="D24" s="45">
        <f>SUM(D6:D10)</f>
        <v>859944.23665479373</v>
      </c>
      <c r="E24" s="45">
        <f>AVERAGE(E6:E10)</f>
        <v>12124.388010157156</v>
      </c>
    </row>
    <row r="25" spans="2:5" ht="15.75" thickBot="1" x14ac:dyDescent="0.3">
      <c r="B25" s="158" t="s">
        <v>64</v>
      </c>
      <c r="C25" s="170"/>
      <c r="D25" s="80">
        <f>SUM(D11:D14)</f>
        <v>536067.78161134641</v>
      </c>
      <c r="E25" s="80">
        <f>AVERAGE(E11:E14)</f>
        <v>32941.668868451357</v>
      </c>
    </row>
    <row r="26" spans="2:5" ht="15.75" thickBot="1" x14ac:dyDescent="0.3">
      <c r="B26" s="160" t="s">
        <v>65</v>
      </c>
      <c r="C26" s="171"/>
      <c r="D26" s="80">
        <f>SUM(D15:D17)</f>
        <v>852484.70311170432</v>
      </c>
      <c r="E26" s="80">
        <f>AVERAGE(E15:E17)</f>
        <v>10393.248907927004</v>
      </c>
    </row>
    <row r="27" spans="2:5" x14ac:dyDescent="0.25">
      <c r="B27" s="77"/>
      <c r="C27" s="78"/>
      <c r="D27" s="72"/>
      <c r="E27" s="72"/>
    </row>
    <row r="28" spans="2:5" x14ac:dyDescent="0.25">
      <c r="B28" s="77"/>
      <c r="C28" s="78"/>
      <c r="D28" s="72"/>
      <c r="E28" s="72"/>
    </row>
    <row r="32" spans="2:5" x14ac:dyDescent="0.25">
      <c r="B32" s="77"/>
      <c r="C32" s="78"/>
      <c r="D32" s="72"/>
      <c r="E32" s="72"/>
    </row>
    <row r="33" spans="2:5" x14ac:dyDescent="0.25">
      <c r="B33" s="77"/>
      <c r="C33" s="78"/>
      <c r="D33" s="72"/>
      <c r="E33" s="72"/>
    </row>
    <row r="34" spans="2:5" x14ac:dyDescent="0.25">
      <c r="B34" s="77"/>
      <c r="C34" s="78"/>
      <c r="D34" s="72"/>
      <c r="E34" s="72"/>
    </row>
    <row r="35" spans="2:5" x14ac:dyDescent="0.25">
      <c r="B35" s="77"/>
      <c r="C35" s="78"/>
      <c r="D35" s="72"/>
      <c r="E35" s="72"/>
    </row>
    <row r="36" spans="2:5" x14ac:dyDescent="0.25">
      <c r="B36" s="77"/>
      <c r="C36" s="78"/>
      <c r="D36" s="72"/>
      <c r="E36" s="72"/>
    </row>
    <row r="37" spans="2:5" ht="15.75" x14ac:dyDescent="0.25">
      <c r="B37" s="166"/>
      <c r="C37" s="166"/>
      <c r="D37" s="79"/>
      <c r="E37" s="79"/>
    </row>
    <row r="38" spans="2:5" x14ac:dyDescent="0.25">
      <c r="C38" s="47"/>
      <c r="D38" s="48"/>
      <c r="E38" s="48"/>
    </row>
    <row r="39" spans="2:5" x14ac:dyDescent="0.25">
      <c r="C39" s="47"/>
      <c r="D39" s="48"/>
      <c r="E39" s="48"/>
    </row>
    <row r="73" spans="7:28" ht="15.75" thickBot="1" x14ac:dyDescent="0.3"/>
    <row r="74" spans="7:28" x14ac:dyDescent="0.25">
      <c r="G74" s="81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60"/>
    </row>
    <row r="75" spans="7:28" x14ac:dyDescent="0.25">
      <c r="G75" s="8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3"/>
    </row>
    <row r="76" spans="7:28" x14ac:dyDescent="0.25">
      <c r="G76" s="8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3"/>
    </row>
    <row r="77" spans="7:28" x14ac:dyDescent="0.25">
      <c r="G77" s="8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3"/>
    </row>
    <row r="78" spans="7:28" x14ac:dyDescent="0.25">
      <c r="G78" s="8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3"/>
    </row>
    <row r="79" spans="7:28" x14ac:dyDescent="0.25">
      <c r="G79" s="8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3"/>
    </row>
    <row r="80" spans="7:28" x14ac:dyDescent="0.25">
      <c r="G80" s="8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3"/>
    </row>
    <row r="81" spans="7:28" x14ac:dyDescent="0.25">
      <c r="G81" s="8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3"/>
    </row>
    <row r="82" spans="7:28" x14ac:dyDescent="0.25">
      <c r="G82" s="8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3"/>
    </row>
    <row r="83" spans="7:28" x14ac:dyDescent="0.25">
      <c r="G83" s="8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3"/>
    </row>
    <row r="84" spans="7:28" x14ac:dyDescent="0.25">
      <c r="G84" s="8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3"/>
    </row>
    <row r="85" spans="7:28" x14ac:dyDescent="0.25">
      <c r="G85" s="8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3"/>
    </row>
    <row r="86" spans="7:28" x14ac:dyDescent="0.25">
      <c r="G86" s="8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3"/>
    </row>
    <row r="87" spans="7:28" x14ac:dyDescent="0.25">
      <c r="G87" s="8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3"/>
    </row>
    <row r="88" spans="7:28" x14ac:dyDescent="0.25">
      <c r="G88" s="8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3"/>
    </row>
    <row r="89" spans="7:28" x14ac:dyDescent="0.25">
      <c r="G89" s="8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3"/>
    </row>
    <row r="90" spans="7:28" x14ac:dyDescent="0.25">
      <c r="G90" s="8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3"/>
    </row>
    <row r="91" spans="7:28" x14ac:dyDescent="0.25">
      <c r="G91" s="8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3"/>
    </row>
    <row r="92" spans="7:28" x14ac:dyDescent="0.25">
      <c r="G92" s="8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3"/>
    </row>
    <row r="93" spans="7:28" x14ac:dyDescent="0.25">
      <c r="G93" s="8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3"/>
    </row>
    <row r="94" spans="7:28" x14ac:dyDescent="0.25">
      <c r="G94" s="8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3"/>
    </row>
    <row r="95" spans="7:28" x14ac:dyDescent="0.25">
      <c r="G95" s="8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3"/>
    </row>
    <row r="96" spans="7:28" x14ac:dyDescent="0.25">
      <c r="G96" s="8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3"/>
    </row>
    <row r="97" spans="7:28" x14ac:dyDescent="0.25">
      <c r="G97" s="8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3"/>
    </row>
    <row r="98" spans="7:28" x14ac:dyDescent="0.25">
      <c r="G98" s="8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3"/>
    </row>
    <row r="99" spans="7:28" x14ac:dyDescent="0.25">
      <c r="G99" s="8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3"/>
    </row>
    <row r="100" spans="7:28" x14ac:dyDescent="0.25">
      <c r="G100" s="8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3"/>
    </row>
    <row r="101" spans="7:28" x14ac:dyDescent="0.25">
      <c r="G101" s="8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3"/>
    </row>
    <row r="102" spans="7:28" x14ac:dyDescent="0.25">
      <c r="G102" s="8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3"/>
    </row>
    <row r="103" spans="7:28" x14ac:dyDescent="0.25">
      <c r="G103" s="8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3"/>
    </row>
    <row r="104" spans="7:28" x14ac:dyDescent="0.25">
      <c r="G104" s="8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3"/>
    </row>
    <row r="105" spans="7:28" x14ac:dyDescent="0.25">
      <c r="G105" s="8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3"/>
    </row>
    <row r="106" spans="7:28" x14ac:dyDescent="0.25">
      <c r="G106" s="8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3"/>
    </row>
    <row r="107" spans="7:28" x14ac:dyDescent="0.25">
      <c r="G107" s="8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3"/>
    </row>
    <row r="108" spans="7:28" x14ac:dyDescent="0.25">
      <c r="G108" s="8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3"/>
    </row>
    <row r="109" spans="7:28" ht="15.75" thickBot="1" x14ac:dyDescent="0.3">
      <c r="G109" s="83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8"/>
    </row>
  </sheetData>
  <mergeCells count="18">
    <mergeCell ref="B37:C37"/>
    <mergeCell ref="B22:C22"/>
    <mergeCell ref="B24:C24"/>
    <mergeCell ref="B25:C25"/>
    <mergeCell ref="B26:C26"/>
    <mergeCell ref="B23:C23"/>
    <mergeCell ref="D20:D21"/>
    <mergeCell ref="E20:E21"/>
    <mergeCell ref="B20:C21"/>
    <mergeCell ref="B15:B17"/>
    <mergeCell ref="B18:C18"/>
    <mergeCell ref="B6:B10"/>
    <mergeCell ref="B11:B14"/>
    <mergeCell ref="E2:E3"/>
    <mergeCell ref="B2:B3"/>
    <mergeCell ref="C2:C3"/>
    <mergeCell ref="D2:D3"/>
    <mergeCell ref="B4:B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showGridLines="0" workbookViewId="0">
      <selection activeCell="E32" sqref="E32"/>
    </sheetView>
  </sheetViews>
  <sheetFormatPr defaultRowHeight="15" x14ac:dyDescent="0.25"/>
  <cols>
    <col min="1" max="1" width="2.42578125" customWidth="1"/>
    <col min="2" max="2" width="14.7109375" style="15" customWidth="1"/>
    <col min="3" max="3" width="12.7109375" style="15" customWidth="1"/>
    <col min="4" max="4" width="10.7109375" style="1" customWidth="1"/>
    <col min="5" max="5" width="10.7109375" style="124" customWidth="1"/>
    <col min="6" max="6" width="2.42578125" customWidth="1"/>
  </cols>
  <sheetData>
    <row r="1" spans="1:29" ht="15.75" thickBot="1" x14ac:dyDescent="0.3"/>
    <row r="2" spans="1:29" ht="15" customHeight="1" x14ac:dyDescent="0.25">
      <c r="B2" s="144" t="s">
        <v>68</v>
      </c>
      <c r="C2" s="144" t="s">
        <v>8</v>
      </c>
      <c r="D2" s="146" t="s">
        <v>23</v>
      </c>
      <c r="E2" s="172" t="s">
        <v>442</v>
      </c>
      <c r="G2" s="81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60"/>
    </row>
    <row r="3" spans="1:29" ht="15.75" customHeight="1" thickBot="1" x14ac:dyDescent="0.3">
      <c r="B3" s="177"/>
      <c r="C3" s="145"/>
      <c r="D3" s="147"/>
      <c r="E3" s="173"/>
      <c r="G3" s="8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3"/>
    </row>
    <row r="4" spans="1:29" x14ac:dyDescent="0.25">
      <c r="A4" s="50"/>
      <c r="B4" s="148" t="s">
        <v>67</v>
      </c>
      <c r="C4" s="96" t="s">
        <v>378</v>
      </c>
      <c r="D4" s="51">
        <f>SUM(SUMIF('Raw Data'!$E$5:$E$500,$C4, 'Raw Data'!$K$5:$K$500))/SUM(COUNTIF('Raw Data'!$E$5:$E$500,$C4))</f>
        <v>0.57715434529985765</v>
      </c>
      <c r="E4" s="125">
        <f>SUM(COUNTIF('Raw Data'!$E$5:$E$500,$C4))</f>
        <v>2</v>
      </c>
      <c r="G4" s="8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3"/>
    </row>
    <row r="5" spans="1:29" x14ac:dyDescent="0.25">
      <c r="A5" s="50"/>
      <c r="B5" s="176"/>
      <c r="C5" s="97" t="s">
        <v>406</v>
      </c>
      <c r="D5" s="53">
        <f>SUM(SUMIF('Raw Data'!$E$5:$E$500,$C5, 'Raw Data'!$K$5:$K$500))/SUM(COUNTIF('Raw Data'!$E$5:$E$500,$C5))</f>
        <v>0.44010970445779163</v>
      </c>
      <c r="E5" s="71">
        <f>SUM(COUNTIF('Raw Data'!$E$5:$E$500,$C5))</f>
        <v>7</v>
      </c>
      <c r="G5" s="8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3"/>
    </row>
    <row r="6" spans="1:29" x14ac:dyDescent="0.25">
      <c r="A6" s="50"/>
      <c r="B6" s="176"/>
      <c r="C6" s="97" t="s">
        <v>305</v>
      </c>
      <c r="D6" s="53">
        <f>SUM(SUMIF('Raw Data'!$E$5:$E$500,$C6, 'Raw Data'!$K$5:$K$500))/SUM(COUNTIF('Raw Data'!$E$5:$E$500,$C6))</f>
        <v>0.49180218725249708</v>
      </c>
      <c r="E6" s="71">
        <f>SUM(COUNTIF('Raw Data'!$E$5:$E$500,$C6))</f>
        <v>6</v>
      </c>
      <c r="G6" s="8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3"/>
    </row>
    <row r="7" spans="1:29" x14ac:dyDescent="0.25">
      <c r="A7" s="50"/>
      <c r="B7" s="176"/>
      <c r="C7" s="97" t="s">
        <v>17</v>
      </c>
      <c r="D7" s="53" t="e">
        <f>SUM(SUMIF('Raw Data'!$E$5:$E$500,$C7, 'Raw Data'!$K$5:$K$500))/SUM(COUNTIF('Raw Data'!$E$5:$E$500,$C7))</f>
        <v>#DIV/0!</v>
      </c>
      <c r="E7" s="71">
        <f>SUM(COUNTIF('Raw Data'!$E$5:$E$500,$C7))</f>
        <v>0</v>
      </c>
      <c r="G7" s="8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3"/>
    </row>
    <row r="8" spans="1:29" x14ac:dyDescent="0.25">
      <c r="B8" s="176"/>
      <c r="C8" s="98" t="s">
        <v>404</v>
      </c>
      <c r="D8" s="53">
        <f>SUM(SUMIF('Raw Data'!$E$5:$E$500,$C8, 'Raw Data'!$K$5:$K$500))/SUM(COUNTIF('Raw Data'!$E$5:$E$500,$C8))</f>
        <v>0.50248262527209087</v>
      </c>
      <c r="E8" s="71">
        <f>SUM(COUNTIF('Raw Data'!$E$5:$E$500,$C8))</f>
        <v>5</v>
      </c>
      <c r="G8" s="8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3"/>
    </row>
    <row r="9" spans="1:29" x14ac:dyDescent="0.25">
      <c r="A9" s="50"/>
      <c r="B9" s="176"/>
      <c r="C9" s="97" t="s">
        <v>327</v>
      </c>
      <c r="D9" s="53">
        <f>SUM(SUMIF('Raw Data'!$E$5:$E$500,$C9, 'Raw Data'!$K$5:$K$500))/SUM(COUNTIF('Raw Data'!$E$5:$E$500,$C9))</f>
        <v>0.48122656359422089</v>
      </c>
      <c r="E9" s="71">
        <f>SUM(COUNTIF('Raw Data'!$E$5:$E$500,$C9))</f>
        <v>7</v>
      </c>
      <c r="G9" s="8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3"/>
    </row>
    <row r="10" spans="1:29" x14ac:dyDescent="0.25">
      <c r="B10" s="176"/>
      <c r="C10" s="105" t="s">
        <v>93</v>
      </c>
      <c r="D10" s="53" t="e">
        <f>SUM(SUMIF('Raw Data'!$E$5:$E$500,$C10, 'Raw Data'!$K$5:$K$500))/SUM(COUNTIF('Raw Data'!$E$5:$E$500,$C10))</f>
        <v>#DIV/0!</v>
      </c>
      <c r="E10" s="71">
        <f>SUM(COUNTIF('Raw Data'!$E$5:$E$500,$C10))</f>
        <v>0</v>
      </c>
      <c r="G10" s="8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3"/>
    </row>
    <row r="11" spans="1:29" x14ac:dyDescent="0.25">
      <c r="B11" s="176"/>
      <c r="C11" s="98" t="s">
        <v>144</v>
      </c>
      <c r="D11" s="52">
        <f>SUM(SUMIF('Raw Data'!$E$5:$E$500,$C11, 'Raw Data'!$K$5:$K$500))/SUM(COUNTIF('Raw Data'!$E$5:$E$500,$C11))</f>
        <v>0.40567884521428094</v>
      </c>
      <c r="E11" s="71">
        <f>SUM(COUNTIF('Raw Data'!$E$5:$E$500,$C11))</f>
        <v>10</v>
      </c>
      <c r="G11" s="8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3"/>
    </row>
    <row r="12" spans="1:29" ht="15.75" thickBot="1" x14ac:dyDescent="0.3">
      <c r="B12" s="149"/>
      <c r="C12" s="128" t="s">
        <v>128</v>
      </c>
      <c r="D12" s="129" t="e">
        <f>SUM(SUMIF('Raw Data'!$E$5:$E$500,$C12, 'Raw Data'!$K$5:$K$500))/SUM(COUNTIF('Raw Data'!$E$5:$E$500,$C12))</f>
        <v>#DIV/0!</v>
      </c>
      <c r="E12" s="130">
        <f>SUM(COUNTIF('Raw Data'!$E$5:$E$500,$C12))</f>
        <v>0</v>
      </c>
      <c r="G12" s="8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3"/>
    </row>
    <row r="13" spans="1:29" ht="15.75" customHeight="1" x14ac:dyDescent="0.25">
      <c r="B13" s="150" t="s">
        <v>71</v>
      </c>
      <c r="C13" s="96" t="s">
        <v>88</v>
      </c>
      <c r="D13" s="51">
        <f>SUM(SUMIF('Raw Data'!$E$5:$E$500,$C13, 'Raw Data'!$K$5:$K$500))/SUM(COUNTIF('Raw Data'!$E$5:$E$500,$C13))</f>
        <v>0.52938009657965912</v>
      </c>
      <c r="E13" s="125">
        <f>SUM(COUNTIF('Raw Data'!$E$5:$E$500,$C13))</f>
        <v>22</v>
      </c>
      <c r="G13" s="8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3"/>
    </row>
    <row r="14" spans="1:29" ht="15.75" customHeight="1" x14ac:dyDescent="0.25">
      <c r="B14" s="151"/>
      <c r="C14" s="97" t="s">
        <v>92</v>
      </c>
      <c r="D14" s="53">
        <f>SUM(SUMIF('Raw Data'!$E$5:$E$500,$C14, 'Raw Data'!$K$5:$K$500))/SUM(COUNTIF('Raw Data'!$E$5:$E$500,$C14))</f>
        <v>0.50871105404193762</v>
      </c>
      <c r="E14" s="71">
        <f>SUM(COUNTIF('Raw Data'!$E$5:$E$500,$C14))</f>
        <v>43</v>
      </c>
      <c r="G14" s="8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3"/>
    </row>
    <row r="15" spans="1:29" x14ac:dyDescent="0.25">
      <c r="B15" s="151"/>
      <c r="C15" s="97" t="s">
        <v>283</v>
      </c>
      <c r="D15" s="53" t="e">
        <f>SUM(SUMIF('Raw Data'!$E$5:$E$500,$C15, 'Raw Data'!$K$5:$K$500))/SUM(COUNTIF('Raw Data'!$E$5:$E$500,$C15))</f>
        <v>#DIV/0!</v>
      </c>
      <c r="E15" s="71">
        <f>SUM(COUNTIF('Raw Data'!$E$5:$E$500,$C15))</f>
        <v>0</v>
      </c>
      <c r="G15" s="8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3"/>
    </row>
    <row r="16" spans="1:29" x14ac:dyDescent="0.25">
      <c r="A16" s="50"/>
      <c r="B16" s="151"/>
      <c r="C16" s="97" t="s">
        <v>121</v>
      </c>
      <c r="D16" s="53" t="e">
        <f>SUM(SUMIF('Raw Data'!$E$5:$E$500,$C16, 'Raw Data'!$K$5:$K$500))/SUM(COUNTIF('Raw Data'!$E$5:$E$500,$C16))</f>
        <v>#DIV/0!</v>
      </c>
      <c r="E16" s="71">
        <f>SUM(COUNTIF('Raw Data'!$E$5:$E$500,$C16))</f>
        <v>0</v>
      </c>
      <c r="G16" s="8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3"/>
    </row>
    <row r="17" spans="1:29" ht="15.75" thickBot="1" x14ac:dyDescent="0.3">
      <c r="A17" s="50"/>
      <c r="B17" s="152"/>
      <c r="C17" s="131" t="s">
        <v>135</v>
      </c>
      <c r="D17" s="129" t="e">
        <f>SUM(SUMIF('Raw Data'!$E$5:$E$500,$C17, 'Raw Data'!$K$5:$K$500))/SUM(COUNTIF('Raw Data'!$E$5:$E$500,$C17))</f>
        <v>#DIV/0!</v>
      </c>
      <c r="E17" s="130">
        <f>SUM(COUNTIF('Raw Data'!$E$5:$E$500,$C17))</f>
        <v>0</v>
      </c>
      <c r="G17" s="8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3"/>
    </row>
    <row r="18" spans="1:29" ht="15.75" thickBot="1" x14ac:dyDescent="0.3">
      <c r="A18" s="50"/>
      <c r="B18" s="132" t="s">
        <v>117</v>
      </c>
      <c r="C18" s="133" t="s">
        <v>363</v>
      </c>
      <c r="D18" s="134">
        <f>SUM(SUMIF('Raw Data'!$E$5:$E$500,$C18, 'Raw Data'!$K$5:$K$500))/SUM(COUNTIF('Raw Data'!$E$5:$E$500,$C18))</f>
        <v>0.61049675465078124</v>
      </c>
      <c r="E18" s="135">
        <f>SUM(COUNTIF('Raw Data'!$E$5:$E$500,$C18))</f>
        <v>1</v>
      </c>
      <c r="G18" s="8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3"/>
    </row>
    <row r="19" spans="1:29" x14ac:dyDescent="0.25">
      <c r="B19" s="140" t="s">
        <v>65</v>
      </c>
      <c r="C19" s="98" t="s">
        <v>15</v>
      </c>
      <c r="D19" s="52">
        <f>SUM(SUMIF('Raw Data'!$E$5:$E$500,$C19, 'Raw Data'!$K$5:$K$500))/SUM(COUNTIF('Raw Data'!$E$5:$E$500,$C19))</f>
        <v>0.54072022698189914</v>
      </c>
      <c r="E19" s="55">
        <f>SUM(COUNTIF('Raw Data'!$E$5:$E$500,$C19))</f>
        <v>35</v>
      </c>
      <c r="G19" s="8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3"/>
    </row>
    <row r="20" spans="1:29" ht="15.75" thickBot="1" x14ac:dyDescent="0.3">
      <c r="A20" s="50"/>
      <c r="B20" s="141"/>
      <c r="C20" s="99" t="s">
        <v>119</v>
      </c>
      <c r="D20" s="103" t="e">
        <f>SUM(SUMIF('Raw Data'!$E$5:$E$500,$C20, 'Raw Data'!$K$5:$K$500))/SUM(COUNTIF('Raw Data'!$E$5:$E$500,$C20))</f>
        <v>#DIV/0!</v>
      </c>
      <c r="E20" s="55">
        <f>SUM(COUNTIF('Raw Data'!$E$5:$E$500,$C20))</f>
        <v>0</v>
      </c>
      <c r="G20" s="82"/>
      <c r="H20" s="62"/>
      <c r="I20" s="62"/>
      <c r="J20" s="62"/>
      <c r="K20" s="62"/>
      <c r="L20" s="94">
        <f>SUM('Installer Analysis'!D4)</f>
        <v>0.57715434529985765</v>
      </c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3"/>
    </row>
    <row r="21" spans="1:29" ht="15.75" thickBot="1" x14ac:dyDescent="0.3">
      <c r="B21" s="174" t="s">
        <v>118</v>
      </c>
      <c r="C21" s="175"/>
      <c r="D21" s="123">
        <f>'Raw Data'!K3</f>
        <v>0.48760035240720567</v>
      </c>
      <c r="E21" s="126">
        <f>SUM(E4:E20)</f>
        <v>138</v>
      </c>
      <c r="G21" s="8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3"/>
    </row>
    <row r="22" spans="1:29" x14ac:dyDescent="0.25">
      <c r="B22" s="77"/>
      <c r="C22" s="47"/>
      <c r="D22" s="95"/>
      <c r="E22" s="127"/>
      <c r="G22" s="8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3"/>
    </row>
    <row r="23" spans="1:29" x14ac:dyDescent="0.25">
      <c r="G23" s="8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3"/>
    </row>
    <row r="24" spans="1:29" x14ac:dyDescent="0.25">
      <c r="B24" s="54"/>
      <c r="C24" s="47"/>
      <c r="D24" s="95"/>
      <c r="E24" s="127"/>
      <c r="G24" s="8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3"/>
    </row>
    <row r="25" spans="1:29" ht="15.75" thickBot="1" x14ac:dyDescent="0.3">
      <c r="B25" s="54"/>
      <c r="C25" s="47"/>
      <c r="D25" s="95"/>
      <c r="E25" s="127"/>
      <c r="G25" s="8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3"/>
    </row>
    <row r="26" spans="1:29" ht="15.75" thickBot="1" x14ac:dyDescent="0.3">
      <c r="B26" s="74" t="s">
        <v>67</v>
      </c>
      <c r="C26" s="47"/>
      <c r="D26" s="95"/>
      <c r="E26" s="127"/>
      <c r="G26" s="8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3"/>
    </row>
    <row r="27" spans="1:29" ht="15.75" thickBot="1" x14ac:dyDescent="0.3">
      <c r="B27" s="75" t="s">
        <v>71</v>
      </c>
      <c r="C27" s="47"/>
      <c r="D27" s="48"/>
      <c r="E27" s="127"/>
      <c r="G27" s="8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3"/>
    </row>
    <row r="28" spans="1:29" ht="15.75" thickBot="1" x14ac:dyDescent="0.3">
      <c r="B28" s="101" t="s">
        <v>117</v>
      </c>
      <c r="C28" s="47"/>
      <c r="D28" s="48"/>
      <c r="E28" s="127"/>
      <c r="G28" s="8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3"/>
    </row>
    <row r="29" spans="1:29" ht="15.75" thickBot="1" x14ac:dyDescent="0.3">
      <c r="B29" s="100" t="s">
        <v>65</v>
      </c>
      <c r="C29" s="47"/>
      <c r="D29" s="48"/>
      <c r="E29" s="127"/>
      <c r="G29" s="8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3"/>
    </row>
    <row r="30" spans="1:29" x14ac:dyDescent="0.25">
      <c r="B30" s="77"/>
      <c r="C30" s="47"/>
      <c r="D30" s="48"/>
      <c r="E30" s="127"/>
      <c r="G30" s="8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3"/>
    </row>
    <row r="31" spans="1:29" x14ac:dyDescent="0.25">
      <c r="B31" s="77"/>
      <c r="C31" s="47"/>
      <c r="D31" s="95"/>
      <c r="E31" s="127"/>
      <c r="G31" s="8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3"/>
    </row>
    <row r="32" spans="1:29" x14ac:dyDescent="0.25">
      <c r="B32" s="77"/>
      <c r="C32" s="47"/>
      <c r="D32" s="48"/>
      <c r="E32" s="127"/>
      <c r="G32" s="8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3"/>
    </row>
    <row r="33" spans="2:29" x14ac:dyDescent="0.25">
      <c r="B33" s="102"/>
      <c r="C33" s="47"/>
      <c r="D33" s="48"/>
      <c r="E33" s="127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3"/>
    </row>
    <row r="34" spans="2:29" x14ac:dyDescent="0.25">
      <c r="C34" s="47"/>
      <c r="D34" s="48"/>
      <c r="E34" s="127"/>
      <c r="G34" s="8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3"/>
    </row>
    <row r="35" spans="2:29" x14ac:dyDescent="0.25">
      <c r="G35" s="8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3"/>
    </row>
    <row r="36" spans="2:29" ht="15.75" thickBot="1" x14ac:dyDescent="0.3">
      <c r="G36" s="83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8"/>
    </row>
    <row r="37" spans="2:29" ht="15.75" thickBot="1" x14ac:dyDescent="0.3"/>
    <row r="38" spans="2:29" x14ac:dyDescent="0.25">
      <c r="G38" s="81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60"/>
    </row>
    <row r="39" spans="2:29" x14ac:dyDescent="0.25">
      <c r="G39" s="8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3"/>
    </row>
    <row r="40" spans="2:29" x14ac:dyDescent="0.25">
      <c r="G40" s="8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3"/>
    </row>
    <row r="41" spans="2:29" x14ac:dyDescent="0.25">
      <c r="G41" s="8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3"/>
    </row>
    <row r="42" spans="2:29" x14ac:dyDescent="0.25">
      <c r="G42" s="8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3"/>
    </row>
    <row r="43" spans="2:29" x14ac:dyDescent="0.25">
      <c r="G43" s="8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3"/>
    </row>
    <row r="44" spans="2:29" x14ac:dyDescent="0.25">
      <c r="G44" s="8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3"/>
    </row>
    <row r="45" spans="2:29" x14ac:dyDescent="0.25">
      <c r="G45" s="8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3"/>
    </row>
    <row r="46" spans="2:29" x14ac:dyDescent="0.25">
      <c r="G46" s="8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3"/>
    </row>
    <row r="47" spans="2:29" x14ac:dyDescent="0.25">
      <c r="G47" s="8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3"/>
    </row>
    <row r="48" spans="2:29" x14ac:dyDescent="0.25">
      <c r="G48" s="8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3"/>
    </row>
    <row r="49" spans="7:29" x14ac:dyDescent="0.25">
      <c r="G49" s="8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3"/>
    </row>
    <row r="50" spans="7:29" x14ac:dyDescent="0.25">
      <c r="G50" s="8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3"/>
    </row>
    <row r="51" spans="7:29" x14ac:dyDescent="0.25">
      <c r="G51" s="8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3"/>
    </row>
    <row r="52" spans="7:29" x14ac:dyDescent="0.25">
      <c r="G52" s="8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3"/>
    </row>
    <row r="53" spans="7:29" x14ac:dyDescent="0.25">
      <c r="G53" s="8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3"/>
    </row>
    <row r="54" spans="7:29" x14ac:dyDescent="0.25">
      <c r="G54" s="8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3"/>
    </row>
    <row r="55" spans="7:29" x14ac:dyDescent="0.25">
      <c r="G55" s="8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3"/>
    </row>
    <row r="56" spans="7:29" x14ac:dyDescent="0.25">
      <c r="G56" s="8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3"/>
    </row>
    <row r="57" spans="7:29" x14ac:dyDescent="0.25">
      <c r="G57" s="8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3"/>
    </row>
    <row r="58" spans="7:29" x14ac:dyDescent="0.25">
      <c r="G58" s="8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3"/>
    </row>
    <row r="59" spans="7:29" x14ac:dyDescent="0.25">
      <c r="G59" s="8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3"/>
    </row>
    <row r="60" spans="7:29" x14ac:dyDescent="0.25">
      <c r="G60" s="8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3"/>
    </row>
    <row r="61" spans="7:29" x14ac:dyDescent="0.25">
      <c r="G61" s="8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3"/>
    </row>
    <row r="62" spans="7:29" x14ac:dyDescent="0.25">
      <c r="G62" s="8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3"/>
    </row>
    <row r="63" spans="7:29" x14ac:dyDescent="0.25">
      <c r="G63" s="8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3"/>
    </row>
    <row r="64" spans="7:29" x14ac:dyDescent="0.25">
      <c r="G64" s="8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3"/>
    </row>
    <row r="65" spans="7:29" x14ac:dyDescent="0.25">
      <c r="G65" s="8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3"/>
    </row>
    <row r="66" spans="7:29" x14ac:dyDescent="0.25">
      <c r="G66" s="8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3"/>
    </row>
    <row r="67" spans="7:29" x14ac:dyDescent="0.25">
      <c r="G67" s="8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3"/>
    </row>
    <row r="68" spans="7:29" ht="15.75" thickBot="1" x14ac:dyDescent="0.3">
      <c r="G68" s="83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8"/>
    </row>
  </sheetData>
  <sortState ref="A4:AB20">
    <sortCondition ref="B4:B20"/>
    <sortCondition ref="C4:C20"/>
  </sortState>
  <mergeCells count="8">
    <mergeCell ref="E2:E3"/>
    <mergeCell ref="D2:D3"/>
    <mergeCell ref="B21:C21"/>
    <mergeCell ref="B4:B12"/>
    <mergeCell ref="B13:B17"/>
    <mergeCell ref="B19:B20"/>
    <mergeCell ref="B2:B3"/>
    <mergeCell ref="C2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9"/>
  <sheetViews>
    <sheetView showGridLines="0" workbookViewId="0">
      <selection activeCell="C4" sqref="C4"/>
    </sheetView>
  </sheetViews>
  <sheetFormatPr defaultRowHeight="15" x14ac:dyDescent="0.25"/>
  <cols>
    <col min="1" max="1" width="2.42578125" customWidth="1"/>
    <col min="2" max="2" width="14.7109375" style="15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23" ht="15.75" thickBot="1" x14ac:dyDescent="0.3">
      <c r="I1" s="56"/>
    </row>
    <row r="2" spans="1:23" ht="15" customHeight="1" x14ac:dyDescent="0.25">
      <c r="B2" s="144" t="s">
        <v>22</v>
      </c>
      <c r="C2" s="146" t="s">
        <v>72</v>
      </c>
      <c r="D2" s="146" t="s">
        <v>79</v>
      </c>
      <c r="E2" s="146" t="s">
        <v>73</v>
      </c>
      <c r="F2" s="146" t="s">
        <v>74</v>
      </c>
      <c r="G2" s="146" t="s">
        <v>75</v>
      </c>
      <c r="H2" s="146" t="s">
        <v>76</v>
      </c>
      <c r="I2" s="146" t="s">
        <v>78</v>
      </c>
      <c r="J2" s="146" t="s">
        <v>77</v>
      </c>
    </row>
    <row r="3" spans="1:23" ht="15.75" customHeight="1" thickBot="1" x14ac:dyDescent="0.3">
      <c r="B3" s="145"/>
      <c r="C3" s="147"/>
      <c r="D3" s="147"/>
      <c r="E3" s="147"/>
      <c r="F3" s="147"/>
      <c r="G3" s="147"/>
      <c r="H3" s="147"/>
      <c r="I3" s="147"/>
      <c r="J3" s="147"/>
    </row>
    <row r="4" spans="1:23" x14ac:dyDescent="0.25">
      <c r="A4" s="50"/>
      <c r="B4" s="34" t="s">
        <v>31</v>
      </c>
      <c r="C4" s="45">
        <f>SUM(SUMIF('Raw Data'!$D$5:$D$500,$B4, 'Raw Data'!$I$5:$KI$500))</f>
        <v>686152.9993131879</v>
      </c>
      <c r="D4" s="55">
        <f>SUM(COUNTIF('Raw Data'!$D$5:$D$500,$B4))</f>
        <v>52</v>
      </c>
      <c r="E4" s="45">
        <f>SUM(SUMIF('Raw Data'!$D$5:$D$500,$B4, 'Raw Data'!$I$5:$I$500))/SUM(COUNTIF('Raw Data'!$D$5:$D$500,$B4))</f>
        <v>13195.249986792074</v>
      </c>
      <c r="F4" s="52">
        <f>SUM(SUMIF('Raw Data'!$D$5:$D$500,$B4, 'Raw Data'!$K$5:$K$500))/SUM(COUNTIF('Raw Data'!$D$5:$D$500,$B4))</f>
        <v>0.50367490552527017</v>
      </c>
      <c r="G4" s="52">
        <f>SUM(SUMIF('Raw Data'!$D$5:$D$500,$B4, 'Raw Data'!$M$5:$M$500))/SUM(COUNTIF('Raw Data'!$D$5:$D$500,$B4))</f>
        <v>0.10620216885398889</v>
      </c>
      <c r="H4" s="45">
        <f>SUM(SUMIF('Raw Data'!$D$5:$D$500,$B4, 'Raw Data'!$N$5:$N$500))/SUM(COUNTIF('Raw Data'!$D$5:$D$500,$B4))</f>
        <v>414.8573714074592</v>
      </c>
      <c r="I4" s="45">
        <f>SUM(SUMIF('Raw Data'!$D$5:$D$500,$B4, 'Raw Data'!$O$5:$O$500))</f>
        <v>3347.83</v>
      </c>
      <c r="J4" s="45">
        <f>SUM(SUMIF('Raw Data'!$D$5:$D$500,$B4, 'Raw Data'!$O$5:$O$500))/SUM(COUNTIF('Raw Data'!$D$5:$D$500,$B4))</f>
        <v>64.381346153846152</v>
      </c>
    </row>
    <row r="5" spans="1:23" x14ac:dyDescent="0.25">
      <c r="A5" s="50"/>
      <c r="B5" s="34" t="s">
        <v>33</v>
      </c>
      <c r="C5" s="45">
        <f>SUM(SUMIF('Raw Data'!$D$5:$D$500,$B5, 'Raw Data'!$I$5:$KI$500))</f>
        <v>585571.91178159066</v>
      </c>
      <c r="D5" s="55">
        <f>SUM(COUNTIF('Raw Data'!$D$5:$D$500,$B5))</f>
        <v>57</v>
      </c>
      <c r="E5" s="45">
        <f>SUM(SUMIF('Raw Data'!$D$5:$D$500,$B5, 'Raw Data'!$I$5:$I$500))/SUM(COUNTIF('Raw Data'!$D$5:$D$500,$B5))</f>
        <v>10273.191434764749</v>
      </c>
      <c r="F5" s="52">
        <f>SUM(SUMIF('Raw Data'!$D$5:$D$500,$B5, 'Raw Data'!$K$5:$K$500))/SUM(COUNTIF('Raw Data'!$D$5:$D$500,$B5))</f>
        <v>0.510659243741726</v>
      </c>
      <c r="G5" s="52">
        <f>SUM(SUMIF('Raw Data'!$D$5:$D$500,$B5, 'Raw Data'!$M$5:$M$500))/SUM(COUNTIF('Raw Data'!$D$5:$D$500,$B5))</f>
        <v>0.11157304900820947</v>
      </c>
      <c r="H5" s="45">
        <f>SUM(SUMIF('Raw Data'!$D$5:$D$500,$B5, 'Raw Data'!$N$5:$N$500))/SUM(COUNTIF('Raw Data'!$D$5:$D$500,$B5))</f>
        <v>420.07950494018394</v>
      </c>
      <c r="I5" s="45">
        <f>SUM(SUMIF('Raw Data'!$D$5:$D$500,$B5, 'Raw Data'!$O$5:$O$500))</f>
        <v>1972.37</v>
      </c>
      <c r="J5" s="45">
        <f>SUM(SUMIF('Raw Data'!$D$5:$D$500,$B5, 'Raw Data'!$O$5:$O$500))/SUM(COUNTIF('Raw Data'!$D$5:$D$500,$B5))</f>
        <v>34.602982456140346</v>
      </c>
    </row>
    <row r="6" spans="1:23" x14ac:dyDescent="0.25">
      <c r="A6" s="50"/>
      <c r="B6" s="33" t="s">
        <v>52</v>
      </c>
      <c r="C6" s="45">
        <f>SUM(SUMIF('Raw Data'!$D$5:$D$500,$B6, 'Raw Data'!$I$5:$KI$500))</f>
        <v>469517.84000000008</v>
      </c>
      <c r="D6" s="55">
        <f>SUM(COUNTIF('Raw Data'!$D$5:$D$500,$B6))</f>
        <v>40</v>
      </c>
      <c r="E6" s="45">
        <f>SUM(SUMIF('Raw Data'!$D$5:$D$500,$B6, 'Raw Data'!$I$5:$I$500))/SUM(COUNTIF('Raw Data'!$D$5:$D$500,$B6))</f>
        <v>11737.946000000002</v>
      </c>
      <c r="F6" s="52">
        <f>SUM(SUMIF('Raw Data'!$D$5:$D$500,$B6, 'Raw Data'!$K$5:$K$500))/SUM(COUNTIF('Raw Data'!$D$5:$D$500,$B6))</f>
        <v>0.41350228083291674</v>
      </c>
      <c r="G6" s="52">
        <f>SUM(SUMIF('Raw Data'!$D$5:$D$500,$B6, 'Raw Data'!$M$5:$M$500))/SUM(COUNTIF('Raw Data'!$D$5:$D$500,$B6))</f>
        <v>9.0900676353770776E-2</v>
      </c>
      <c r="H6" s="45">
        <f>SUM(SUMIF('Raw Data'!$D$5:$D$500,$B6, 'Raw Data'!$N$5:$N$500))/SUM(COUNTIF('Raw Data'!$D$5:$D$500,$B6))</f>
        <v>-309.38225</v>
      </c>
      <c r="I6" s="45">
        <f>SUM(SUMIF('Raw Data'!$D$5:$D$500,$B6, 'Raw Data'!$O$5:$O$500))</f>
        <v>3429.24</v>
      </c>
      <c r="J6" s="45">
        <f>SUM(SUMIF('Raw Data'!$D$5:$D$500,$B6, 'Raw Data'!$O$5:$O$500))/SUM(COUNTIF('Raw Data'!$D$5:$D$500,$B6))</f>
        <v>85.730999999999995</v>
      </c>
    </row>
    <row r="7" spans="1:23" x14ac:dyDescent="0.25">
      <c r="A7" s="50"/>
      <c r="B7" s="33" t="s">
        <v>90</v>
      </c>
      <c r="C7" s="45">
        <f>SUM(SUMIF('Raw Data'!$D$5:$D$500,$B7, 'Raw Data'!$I$5:$KI$500))</f>
        <v>572183.66427919746</v>
      </c>
      <c r="D7" s="55">
        <f>SUM(COUNTIF('Raw Data'!$D$5:$D$500,$B7))</f>
        <v>41</v>
      </c>
      <c r="E7" s="45">
        <f>SUM(SUMIF('Raw Data'!$D$5:$D$500,$B7, 'Raw Data'!$I$5:$I$500))/SUM(COUNTIF('Raw Data'!$D$5:$D$500,$B7))</f>
        <v>13955.699128760914</v>
      </c>
      <c r="F7" s="52">
        <f>SUM(SUMIF('Raw Data'!$D$5:$D$500,$B7, 'Raw Data'!$K$5:$K$500))/SUM(COUNTIF('Raw Data'!$D$5:$D$500,$B7))</f>
        <v>0.48147188747325043</v>
      </c>
      <c r="G7" s="52">
        <f>SUM(SUMIF('Raw Data'!$D$5:$D$500,$B7, 'Raw Data'!$M$5:$M$500))/SUM(COUNTIF('Raw Data'!$D$5:$D$500,$B7))</f>
        <v>9.1029853725988139E-2</v>
      </c>
      <c r="H7" s="45">
        <f>SUM(SUMIF('Raw Data'!$D$5:$D$500,$B7, 'Raw Data'!$N$5:$N$500))/SUM(COUNTIF('Raw Data'!$D$5:$D$500,$B7))</f>
        <v>-161.11209075127931</v>
      </c>
      <c r="I7" s="45">
        <f>SUM(SUMIF('Raw Data'!$D$5:$D$500,$B7, 'Raw Data'!$O$5:$O$500))</f>
        <v>3245.88</v>
      </c>
      <c r="J7" s="45">
        <f>SUM(SUMIF('Raw Data'!$D$5:$D$500,$B7, 'Raw Data'!$O$5:$O$500))/SUM(COUNTIF('Raw Data'!$D$5:$D$500,$B7))</f>
        <v>79.167804878048784</v>
      </c>
    </row>
    <row r="8" spans="1:23" x14ac:dyDescent="0.25">
      <c r="A8" s="50"/>
      <c r="B8" s="33" t="s">
        <v>39</v>
      </c>
      <c r="C8" s="45">
        <f>SUM(SUMIF('Raw Data'!$D$5:$D$500,$B8, 'Raw Data'!$I$5:$KI$500))</f>
        <v>527234.17999999993</v>
      </c>
      <c r="D8" s="55">
        <f>SUM(COUNTIF('Raw Data'!$D$5:$D$500,$B8))</f>
        <v>23</v>
      </c>
      <c r="E8" s="45">
        <f>SUM(SUMIF('Raw Data'!$D$5:$D$500,$B8, 'Raw Data'!$I$5:$I$500))/SUM(COUNTIF('Raw Data'!$D$5:$D$500,$B8))</f>
        <v>22923.2252173913</v>
      </c>
      <c r="F8" s="52">
        <f>SUM(SUMIF('Raw Data'!$D$5:$D$500,$B8, 'Raw Data'!$K$5:$K$500))/SUM(COUNTIF('Raw Data'!$D$5:$D$500,$B8))</f>
        <v>0.51068898505888605</v>
      </c>
      <c r="G8" s="52">
        <f>SUM(SUMIF('Raw Data'!$D$5:$D$500,$B8, 'Raw Data'!$M$5:$M$500))/SUM(COUNTIF('Raw Data'!$D$5:$D$500,$B8))</f>
        <v>0.10901095683462032</v>
      </c>
      <c r="H8" s="45">
        <f>SUM(SUMIF('Raw Data'!$D$5:$D$500,$B8, 'Raw Data'!$N$5:$N$500))/SUM(COUNTIF('Raw Data'!$D$5:$D$500,$B8))</f>
        <v>695.20652173913015</v>
      </c>
      <c r="I8" s="45">
        <f>SUM(SUMIF('Raw Data'!$D$5:$D$500,$B8, 'Raw Data'!$O$5:$O$500))</f>
        <v>2236.13</v>
      </c>
      <c r="J8" s="45">
        <f>SUM(SUMIF('Raw Data'!$D$5:$D$500,$B8, 'Raw Data'!$O$5:$O$500))/SUM(COUNTIF('Raw Data'!$D$5:$D$500,$B8))</f>
        <v>97.223043478260877</v>
      </c>
    </row>
    <row r="9" spans="1:23" x14ac:dyDescent="0.25">
      <c r="A9" s="50"/>
      <c r="B9" s="33" t="s">
        <v>26</v>
      </c>
      <c r="C9" s="45">
        <f>SUM(SUMIF('Raw Data'!$D$5:$D$500,$B9, 'Raw Data'!$I$5:$KI$500))</f>
        <v>833949.69482601527</v>
      </c>
      <c r="D9" s="55">
        <f>SUM(COUNTIF('Raw Data'!$D$5:$D$500,$B9))</f>
        <v>58</v>
      </c>
      <c r="E9" s="45">
        <f>SUM(SUMIF('Raw Data'!$D$5:$D$500,$B9, 'Raw Data'!$I$5:$I$500))/SUM(COUNTIF('Raw Data'!$D$5:$D$500,$B9))</f>
        <v>14378.443014241642</v>
      </c>
      <c r="F9" s="52">
        <f>SUM(SUMIF('Raw Data'!$D$5:$D$500,$B9, 'Raw Data'!$K$5:$K$500))/SUM(COUNTIF('Raw Data'!$D$5:$D$500,$B9))</f>
        <v>0.54192037677020299</v>
      </c>
      <c r="G9" s="52">
        <f>SUM(SUMIF('Raw Data'!$D$5:$D$500,$B9, 'Raw Data'!$M$5:$M$500))/SUM(COUNTIF('Raw Data'!$D$5:$D$500,$B9))</f>
        <v>0.10941059041744922</v>
      </c>
      <c r="H9" s="45">
        <f>SUM(SUMIF('Raw Data'!$D$5:$D$500,$B9, 'Raw Data'!$N$5:$N$500))/SUM(COUNTIF('Raw Data'!$D$5:$D$500,$B9))</f>
        <v>612.36249700026531</v>
      </c>
      <c r="I9" s="45">
        <f>SUM(SUMIF('Raw Data'!$D$5:$D$500,$B9, 'Raw Data'!$O$5:$O$500))</f>
        <v>3550</v>
      </c>
      <c r="J9" s="45">
        <f>SUM(SUMIF('Raw Data'!$D$5:$D$500,$B9, 'Raw Data'!$O$5:$O$500))/SUM(COUNTIF('Raw Data'!$D$5:$D$500,$B9))</f>
        <v>61.206896551724135</v>
      </c>
    </row>
    <row r="10" spans="1:23" x14ac:dyDescent="0.25">
      <c r="A10" s="50"/>
      <c r="B10" s="34" t="s">
        <v>146</v>
      </c>
      <c r="C10" s="45">
        <f>SUM(SUMIF('Raw Data'!$D$5:$D$500,$B10, 'Raw Data'!$I$5:$KI$500))</f>
        <v>556830.25188851904</v>
      </c>
      <c r="D10" s="55">
        <f>SUM(COUNTIF('Raw Data'!$D$5:$D$500,$B10))</f>
        <v>31</v>
      </c>
      <c r="E10" s="45">
        <f>SUM(SUMIF('Raw Data'!$D$5:$D$500,$B10, 'Raw Data'!$I$5:$I$500))/SUM(COUNTIF('Raw Data'!$D$5:$D$500,$B10))</f>
        <v>17962.266189952228</v>
      </c>
      <c r="F10" s="52">
        <f>SUM(SUMIF('Raw Data'!$D$5:$D$500,$B10, 'Raw Data'!$K$5:$K$500))/SUM(COUNTIF('Raw Data'!$D$5:$D$500,$B10))</f>
        <v>0.43643559852804187</v>
      </c>
      <c r="G10" s="52">
        <f>SUM(SUMIF('Raw Data'!$D$5:$D$500,$B10, 'Raw Data'!$M$5:$M$500))/SUM(COUNTIF('Raw Data'!$D$5:$D$500,$B10))</f>
        <v>8.6936354818450315E-2</v>
      </c>
      <c r="H10" s="45">
        <f>SUM(SUMIF('Raw Data'!$D$5:$D$500,$B10, 'Raw Data'!$N$5:$N$500))/SUM(COUNTIF('Raw Data'!$D$5:$D$500,$B10))</f>
        <v>1.9359964038395416</v>
      </c>
      <c r="I10" s="45">
        <f>SUM(SUMIF('Raw Data'!$D$5:$D$500,$B10, 'Raw Data'!$O$5:$O$500))</f>
        <v>1235.73</v>
      </c>
      <c r="J10" s="45">
        <f>SUM(SUMIF('Raw Data'!$D$5:$D$500,$B10, 'Raw Data'!$O$5:$O$500))/SUM(COUNTIF('Raw Data'!$D$5:$D$500,$B10))</f>
        <v>39.862258064516126</v>
      </c>
    </row>
    <row r="11" spans="1:23" ht="15.75" thickBot="1" x14ac:dyDescent="0.3">
      <c r="A11" s="50"/>
      <c r="B11" s="33" t="s">
        <v>209</v>
      </c>
      <c r="C11" s="45">
        <f>SUM(SUMIF('Raw Data'!$D$5:$D$500,$B11, 'Raw Data'!$I$5:$KI$500))</f>
        <v>16007.47</v>
      </c>
      <c r="D11" s="55">
        <f>SUM(COUNTIF('Raw Data'!$D$5:$D$500,$B11))</f>
        <v>1</v>
      </c>
      <c r="E11" s="45">
        <f>SUM(SUMIF('Raw Data'!$D$5:$D$500,$B11, 'Raw Data'!$I$5:$I$500))/SUM(COUNTIF('Raw Data'!$D$5:$D$500,$B11))</f>
        <v>16007.47</v>
      </c>
      <c r="F11" s="52">
        <f>SUM(SUMIF('Raw Data'!$D$5:$D$500,$B11, 'Raw Data'!$K$5:$K$500))/SUM(COUNTIF('Raw Data'!$D$5:$D$500,$B11))</f>
        <v>0.42155880973070703</v>
      </c>
      <c r="G11" s="52">
        <f>SUM(SUMIF('Raw Data'!$D$5:$D$500,$B11, 'Raw Data'!$M$5:$M$500))/SUM(COUNTIF('Raw Data'!$D$5:$D$500,$B11))</f>
        <v>6.1667459005077009E-2</v>
      </c>
      <c r="H11" s="45">
        <f>SUM(SUMIF('Raw Data'!$D$5:$D$500,$B11, 'Raw Data'!$N$5:$N$500))/SUM(COUNTIF('Raw Data'!$D$5:$D$500,$B11))</f>
        <v>-948.18</v>
      </c>
      <c r="I11" s="45">
        <f>SUM(SUMIF('Raw Data'!$D$5:$D$500,$B11, 'Raw Data'!$O$5:$O$500))</f>
        <v>223.77</v>
      </c>
      <c r="J11" s="45">
        <f>SUM(SUMIF('Raw Data'!$D$5:$D$500,$B11, 'Raw Data'!$O$5:$O$500))/SUM(COUNTIF('Raw Data'!$D$5:$D$500,$B11))</f>
        <v>223.77</v>
      </c>
    </row>
    <row r="12" spans="1:23" ht="15.75" customHeight="1" x14ac:dyDescent="0.25">
      <c r="B12" s="144"/>
      <c r="C12" s="178">
        <f>SUM(C4:C10)</f>
        <v>4231440.5420885105</v>
      </c>
      <c r="D12" s="182">
        <f>SUM(D4:D10)</f>
        <v>302</v>
      </c>
      <c r="E12" s="178">
        <f>AVERAGE(E4:E10)</f>
        <v>14918.002995986129</v>
      </c>
      <c r="F12" s="180">
        <f>AVERAGE(F4:F10)</f>
        <v>0.48547903970432771</v>
      </c>
      <c r="G12" s="180">
        <f>AVERAGE(G4:G10)</f>
        <v>0.10072337857321102</v>
      </c>
      <c r="H12" s="178">
        <f>AVERAGE(H4:H10)</f>
        <v>239.13536439137124</v>
      </c>
      <c r="I12" s="178">
        <f>SUM(I4:I10)</f>
        <v>19017.18</v>
      </c>
      <c r="J12" s="178">
        <f>AVERAGE(J4:J10)</f>
        <v>66.025047368933784</v>
      </c>
    </row>
    <row r="13" spans="1:23" ht="15.75" customHeight="1" thickBot="1" x14ac:dyDescent="0.3">
      <c r="B13" s="145"/>
      <c r="C13" s="179"/>
      <c r="D13" s="183"/>
      <c r="E13" s="179"/>
      <c r="F13" s="181"/>
      <c r="G13" s="181"/>
      <c r="H13" s="179"/>
      <c r="I13" s="179"/>
      <c r="J13" s="179"/>
    </row>
    <row r="14" spans="1:23" ht="15.75" thickBot="1" x14ac:dyDescent="0.3">
      <c r="B14" s="46"/>
      <c r="C14" s="47"/>
      <c r="D14" s="47"/>
      <c r="E14" s="47"/>
      <c r="F14" s="47"/>
      <c r="G14" s="47"/>
      <c r="H14" s="47"/>
      <c r="I14" s="47"/>
      <c r="J14" s="47"/>
    </row>
    <row r="15" spans="1:23" x14ac:dyDescent="0.25">
      <c r="B15" s="57"/>
      <c r="C15" s="58"/>
      <c r="D15" s="58"/>
      <c r="E15" s="58"/>
      <c r="F15" s="58"/>
      <c r="G15" s="58"/>
      <c r="H15" s="58"/>
      <c r="I15" s="58"/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60"/>
    </row>
    <row r="16" spans="1:23" x14ac:dyDescent="0.25">
      <c r="B16" s="61"/>
      <c r="C16" s="48"/>
      <c r="D16" s="48"/>
      <c r="E16" s="48"/>
      <c r="F16" s="48"/>
      <c r="G16" s="48"/>
      <c r="H16" s="48"/>
      <c r="I16" s="48"/>
      <c r="J16" s="48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3"/>
    </row>
    <row r="17" spans="2:23" x14ac:dyDescent="0.25">
      <c r="B17" s="61"/>
      <c r="C17" s="48"/>
      <c r="D17" s="48"/>
      <c r="E17" s="48"/>
      <c r="F17" s="48"/>
      <c r="G17" s="48"/>
      <c r="H17" s="48"/>
      <c r="I17" s="48"/>
      <c r="J17" s="48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3"/>
    </row>
    <row r="18" spans="2:23" x14ac:dyDescent="0.25">
      <c r="B18" s="61"/>
      <c r="C18" s="48"/>
      <c r="D18" s="48"/>
      <c r="E18" s="48"/>
      <c r="F18" s="48"/>
      <c r="G18" s="48"/>
      <c r="H18" s="48"/>
      <c r="I18" s="48"/>
      <c r="J18" s="48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3"/>
    </row>
    <row r="19" spans="2:23" x14ac:dyDescent="0.25">
      <c r="B19" s="61"/>
      <c r="C19" s="48"/>
      <c r="D19" s="48"/>
      <c r="E19" s="48"/>
      <c r="F19" s="48"/>
      <c r="G19" s="48"/>
      <c r="H19" s="48"/>
      <c r="I19" s="48"/>
      <c r="J19" s="48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3"/>
    </row>
    <row r="20" spans="2:23" x14ac:dyDescent="0.25">
      <c r="B20" s="61"/>
      <c r="C20" s="48"/>
      <c r="D20" s="48"/>
      <c r="E20" s="48"/>
      <c r="F20" s="48"/>
      <c r="G20" s="48"/>
      <c r="H20" s="48"/>
      <c r="I20" s="48"/>
      <c r="J20" s="48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3"/>
    </row>
    <row r="21" spans="2:23" x14ac:dyDescent="0.25">
      <c r="B21" s="61"/>
      <c r="C21" s="48"/>
      <c r="D21" s="48"/>
      <c r="E21" s="48"/>
      <c r="F21" s="48"/>
      <c r="G21" s="48"/>
      <c r="H21" s="48"/>
      <c r="I21" s="48"/>
      <c r="J21" s="48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3"/>
    </row>
    <row r="22" spans="2:23" x14ac:dyDescent="0.25">
      <c r="B22" s="61"/>
      <c r="C22" s="48"/>
      <c r="D22" s="48"/>
      <c r="E22" s="48"/>
      <c r="F22" s="48"/>
      <c r="G22" s="48"/>
      <c r="H22" s="48"/>
      <c r="I22" s="48"/>
      <c r="J22" s="48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3"/>
    </row>
    <row r="23" spans="2:23" x14ac:dyDescent="0.25">
      <c r="B23" s="61"/>
      <c r="C23" s="48"/>
      <c r="D23" s="48"/>
      <c r="E23" s="48"/>
      <c r="F23" s="48"/>
      <c r="G23" s="48"/>
      <c r="H23" s="48"/>
      <c r="I23" s="48"/>
      <c r="J23" s="48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</row>
    <row r="24" spans="2:23" x14ac:dyDescent="0.25">
      <c r="B24" s="61"/>
      <c r="C24" s="48"/>
      <c r="D24" s="48"/>
      <c r="E24" s="48"/>
      <c r="F24" s="48"/>
      <c r="G24" s="48"/>
      <c r="H24" s="48"/>
      <c r="I24" s="48"/>
      <c r="J24" s="48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3"/>
    </row>
    <row r="25" spans="2:23" x14ac:dyDescent="0.25">
      <c r="B25" s="61"/>
      <c r="C25" s="48"/>
      <c r="D25" s="48"/>
      <c r="E25" s="48"/>
      <c r="F25" s="48"/>
      <c r="G25" s="48"/>
      <c r="H25" s="48"/>
      <c r="I25" s="48"/>
      <c r="J25" s="48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3"/>
    </row>
    <row r="26" spans="2:23" x14ac:dyDescent="0.25">
      <c r="B26" s="61"/>
      <c r="C26" s="48"/>
      <c r="D26" s="48"/>
      <c r="E26" s="48"/>
      <c r="F26" s="48"/>
      <c r="G26" s="48"/>
      <c r="H26" s="48"/>
      <c r="I26" s="48"/>
      <c r="J26" s="48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3"/>
    </row>
    <row r="27" spans="2:23" x14ac:dyDescent="0.25">
      <c r="B27" s="61"/>
      <c r="C27" s="48"/>
      <c r="D27" s="48"/>
      <c r="E27" s="48"/>
      <c r="F27" s="48"/>
      <c r="G27" s="48"/>
      <c r="H27" s="48"/>
      <c r="I27" s="48"/>
      <c r="J27" s="48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3"/>
    </row>
    <row r="28" spans="2:23" x14ac:dyDescent="0.25">
      <c r="B28" s="61"/>
      <c r="C28" s="48"/>
      <c r="D28" s="48"/>
      <c r="E28" s="48"/>
      <c r="F28" s="48"/>
      <c r="G28" s="48"/>
      <c r="H28" s="48"/>
      <c r="I28" s="48"/>
      <c r="J28" s="48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3"/>
    </row>
    <row r="29" spans="2:23" x14ac:dyDescent="0.25">
      <c r="B29" s="61"/>
      <c r="C29" s="48"/>
      <c r="D29" s="48"/>
      <c r="E29" s="48"/>
      <c r="F29" s="48"/>
      <c r="G29" s="48"/>
      <c r="H29" s="48"/>
      <c r="I29" s="48"/>
      <c r="J29" s="48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3"/>
    </row>
    <row r="30" spans="2:23" x14ac:dyDescent="0.25">
      <c r="B30" s="61"/>
      <c r="C30" s="48"/>
      <c r="D30" s="48"/>
      <c r="E30" s="48"/>
      <c r="F30" s="48"/>
      <c r="G30" s="48"/>
      <c r="H30" s="48"/>
      <c r="I30" s="48"/>
      <c r="J30" s="48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3"/>
    </row>
    <row r="31" spans="2:23" x14ac:dyDescent="0.25">
      <c r="B31" s="61"/>
      <c r="C31" s="48"/>
      <c r="D31" s="48"/>
      <c r="E31" s="48"/>
      <c r="F31" s="48"/>
      <c r="G31" s="48"/>
      <c r="H31" s="48"/>
      <c r="I31" s="48"/>
      <c r="J31" s="48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3"/>
    </row>
    <row r="32" spans="2:23" x14ac:dyDescent="0.25">
      <c r="B32" s="61"/>
      <c r="C32" s="48"/>
      <c r="D32" s="48"/>
      <c r="E32" s="48"/>
      <c r="F32" s="48"/>
      <c r="G32" s="48"/>
      <c r="H32" s="48"/>
      <c r="I32" s="48"/>
      <c r="J32" s="48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3"/>
    </row>
    <row r="33" spans="2:23" x14ac:dyDescent="0.25">
      <c r="B33" s="61"/>
      <c r="C33" s="48"/>
      <c r="D33" s="48"/>
      <c r="E33" s="48"/>
      <c r="F33" s="48"/>
      <c r="G33" s="48"/>
      <c r="H33" s="48"/>
      <c r="I33" s="48"/>
      <c r="J33" s="48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3"/>
    </row>
    <row r="34" spans="2:23" x14ac:dyDescent="0.25">
      <c r="B34" s="64"/>
      <c r="C34" s="47"/>
      <c r="D34" s="47"/>
      <c r="E34" s="47"/>
      <c r="F34" s="47"/>
      <c r="G34" s="47"/>
      <c r="H34" s="47"/>
      <c r="I34" s="47"/>
      <c r="J34" s="47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3"/>
    </row>
    <row r="35" spans="2:23" x14ac:dyDescent="0.25">
      <c r="B35" s="64"/>
      <c r="C35" s="47"/>
      <c r="D35" s="47"/>
      <c r="E35" s="47"/>
      <c r="F35" s="47"/>
      <c r="G35" s="47"/>
      <c r="H35" s="47"/>
      <c r="I35" s="47"/>
      <c r="J35" s="47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3"/>
    </row>
    <row r="36" spans="2:23" x14ac:dyDescent="0.25">
      <c r="B36" s="64"/>
      <c r="C36" s="47"/>
      <c r="D36" s="47"/>
      <c r="E36" s="47"/>
      <c r="F36" s="47"/>
      <c r="G36" s="47"/>
      <c r="H36" s="47"/>
      <c r="I36" s="47"/>
      <c r="J36" s="47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3"/>
    </row>
    <row r="37" spans="2:23" x14ac:dyDescent="0.25">
      <c r="B37" s="64"/>
      <c r="C37" s="47"/>
      <c r="D37" s="47"/>
      <c r="E37" s="47"/>
      <c r="F37" s="47"/>
      <c r="G37" s="47"/>
      <c r="H37" s="47"/>
      <c r="I37" s="47"/>
      <c r="J37" s="47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3"/>
    </row>
    <row r="38" spans="2:23" x14ac:dyDescent="0.25">
      <c r="B38" s="64"/>
      <c r="C38" s="47"/>
      <c r="D38" s="47"/>
      <c r="E38" s="47"/>
      <c r="F38" s="47"/>
      <c r="G38" s="47"/>
      <c r="H38" s="47"/>
      <c r="I38" s="47"/>
      <c r="J38" s="47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3"/>
    </row>
    <row r="39" spans="2:23" x14ac:dyDescent="0.25">
      <c r="B39" s="64"/>
      <c r="C39" s="47"/>
      <c r="D39" s="47"/>
      <c r="E39" s="47"/>
      <c r="F39" s="47"/>
      <c r="G39" s="47"/>
      <c r="H39" s="47"/>
      <c r="I39" s="47"/>
      <c r="J39" s="47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3"/>
    </row>
    <row r="40" spans="2:23" x14ac:dyDescent="0.25">
      <c r="B40" s="64"/>
      <c r="C40" s="47"/>
      <c r="D40" s="47"/>
      <c r="E40" s="47"/>
      <c r="F40" s="47"/>
      <c r="G40" s="47"/>
      <c r="H40" s="47"/>
      <c r="I40" s="47"/>
      <c r="J40" s="47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3"/>
    </row>
    <row r="41" spans="2:23" x14ac:dyDescent="0.25">
      <c r="B41" s="64"/>
      <c r="C41" s="47"/>
      <c r="D41" s="47"/>
      <c r="E41" s="47"/>
      <c r="F41" s="47"/>
      <c r="G41" s="47"/>
      <c r="H41" s="47"/>
      <c r="I41" s="47"/>
      <c r="J41" s="47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3"/>
    </row>
    <row r="42" spans="2:23" x14ac:dyDescent="0.25">
      <c r="B42" s="64"/>
      <c r="C42" s="47"/>
      <c r="D42" s="47"/>
      <c r="E42" s="47"/>
      <c r="F42" s="47"/>
      <c r="G42" s="47"/>
      <c r="H42" s="47"/>
      <c r="I42" s="47"/>
      <c r="J42" s="47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3"/>
    </row>
    <row r="43" spans="2:23" x14ac:dyDescent="0.25">
      <c r="B43" s="64"/>
      <c r="C43" s="47"/>
      <c r="D43" s="47"/>
      <c r="E43" s="47"/>
      <c r="F43" s="47"/>
      <c r="G43" s="47"/>
      <c r="H43" s="47"/>
      <c r="I43" s="47"/>
      <c r="J43" s="47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3"/>
    </row>
    <row r="44" spans="2:23" x14ac:dyDescent="0.25">
      <c r="B44" s="64"/>
      <c r="C44" s="47"/>
      <c r="D44" s="47"/>
      <c r="E44" s="47"/>
      <c r="F44" s="47"/>
      <c r="G44" s="47"/>
      <c r="H44" s="47"/>
      <c r="I44" s="47"/>
      <c r="J44" s="47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3"/>
    </row>
    <row r="45" spans="2:23" ht="15.75" thickBot="1" x14ac:dyDescent="0.3">
      <c r="B45" s="65"/>
      <c r="C45" s="66"/>
      <c r="D45" s="66"/>
      <c r="E45" s="66"/>
      <c r="F45" s="66"/>
      <c r="G45" s="66"/>
      <c r="H45" s="66"/>
      <c r="I45" s="66"/>
      <c r="J45" s="66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8"/>
    </row>
    <row r="46" spans="2:23" ht="15.75" thickBot="1" x14ac:dyDescent="0.3"/>
    <row r="47" spans="2:23" x14ac:dyDescent="0.25">
      <c r="B47" s="69"/>
      <c r="C47" s="70"/>
      <c r="D47" s="70"/>
      <c r="E47" s="70"/>
      <c r="F47" s="70"/>
      <c r="G47" s="70"/>
      <c r="H47" s="70"/>
      <c r="I47" s="70"/>
      <c r="J47" s="70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60"/>
    </row>
    <row r="48" spans="2:23" x14ac:dyDescent="0.25">
      <c r="B48" s="64"/>
      <c r="C48" s="47"/>
      <c r="D48" s="47"/>
      <c r="E48" s="47"/>
      <c r="F48" s="47"/>
      <c r="G48" s="47"/>
      <c r="H48" s="47"/>
      <c r="I48" s="47"/>
      <c r="J48" s="47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3"/>
    </row>
    <row r="49" spans="2:23" x14ac:dyDescent="0.25">
      <c r="B49" s="64"/>
      <c r="C49" s="47"/>
      <c r="D49" s="47"/>
      <c r="E49" s="47"/>
      <c r="F49" s="47"/>
      <c r="G49" s="47"/>
      <c r="H49" s="47"/>
      <c r="I49" s="47"/>
      <c r="J49" s="47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3"/>
    </row>
    <row r="50" spans="2:23" x14ac:dyDescent="0.25">
      <c r="B50" s="64"/>
      <c r="C50" s="47"/>
      <c r="D50" s="47"/>
      <c r="E50" s="47"/>
      <c r="F50" s="47"/>
      <c r="G50" s="47"/>
      <c r="H50" s="47"/>
      <c r="I50" s="47"/>
      <c r="J50" s="47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3"/>
    </row>
    <row r="51" spans="2:23" x14ac:dyDescent="0.25">
      <c r="B51" s="64"/>
      <c r="C51" s="47"/>
      <c r="D51" s="47"/>
      <c r="E51" s="47"/>
      <c r="F51" s="47"/>
      <c r="G51" s="47"/>
      <c r="H51" s="47"/>
      <c r="I51" s="47"/>
      <c r="J51" s="47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3"/>
    </row>
    <row r="52" spans="2:23" x14ac:dyDescent="0.25">
      <c r="B52" s="64"/>
      <c r="C52" s="47"/>
      <c r="D52" s="47"/>
      <c r="E52" s="47"/>
      <c r="F52" s="47"/>
      <c r="G52" s="47"/>
      <c r="H52" s="47"/>
      <c r="I52" s="47"/>
      <c r="J52" s="47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3"/>
    </row>
    <row r="53" spans="2:23" x14ac:dyDescent="0.25">
      <c r="B53" s="64"/>
      <c r="C53" s="47"/>
      <c r="D53" s="47"/>
      <c r="E53" s="47"/>
      <c r="F53" s="47"/>
      <c r="G53" s="47"/>
      <c r="H53" s="47"/>
      <c r="I53" s="47"/>
      <c r="J53" s="47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3"/>
    </row>
    <row r="54" spans="2:23" x14ac:dyDescent="0.25">
      <c r="B54" s="64"/>
      <c r="C54" s="47"/>
      <c r="D54" s="47"/>
      <c r="E54" s="47"/>
      <c r="F54" s="47"/>
      <c r="G54" s="47"/>
      <c r="H54" s="47"/>
      <c r="I54" s="47"/>
      <c r="J54" s="47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3"/>
    </row>
    <row r="55" spans="2:23" x14ac:dyDescent="0.25">
      <c r="B55" s="64"/>
      <c r="C55" s="47"/>
      <c r="D55" s="47"/>
      <c r="E55" s="47"/>
      <c r="F55" s="47"/>
      <c r="G55" s="47"/>
      <c r="H55" s="47"/>
      <c r="I55" s="47"/>
      <c r="J55" s="47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3"/>
    </row>
    <row r="56" spans="2:23" x14ac:dyDescent="0.25">
      <c r="B56" s="64"/>
      <c r="C56" s="47"/>
      <c r="D56" s="47"/>
      <c r="E56" s="47"/>
      <c r="F56" s="47"/>
      <c r="G56" s="47"/>
      <c r="H56" s="47"/>
      <c r="I56" s="47"/>
      <c r="J56" s="47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3"/>
    </row>
    <row r="57" spans="2:23" x14ac:dyDescent="0.25">
      <c r="B57" s="64"/>
      <c r="C57" s="47"/>
      <c r="D57" s="47"/>
      <c r="E57" s="47"/>
      <c r="F57" s="47"/>
      <c r="G57" s="47"/>
      <c r="H57" s="47"/>
      <c r="I57" s="47"/>
      <c r="J57" s="47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3"/>
    </row>
    <row r="58" spans="2:23" x14ac:dyDescent="0.25">
      <c r="B58" s="64"/>
      <c r="C58" s="47"/>
      <c r="D58" s="47"/>
      <c r="E58" s="47"/>
      <c r="F58" s="47"/>
      <c r="G58" s="47"/>
      <c r="H58" s="47"/>
      <c r="I58" s="47"/>
      <c r="J58" s="47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3"/>
    </row>
    <row r="59" spans="2:23" x14ac:dyDescent="0.25">
      <c r="B59" s="64"/>
      <c r="C59" s="47"/>
      <c r="D59" s="47"/>
      <c r="E59" s="47"/>
      <c r="F59" s="47"/>
      <c r="G59" s="47"/>
      <c r="H59" s="47"/>
      <c r="I59" s="47"/>
      <c r="J59" s="47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3"/>
    </row>
    <row r="60" spans="2:23" x14ac:dyDescent="0.25">
      <c r="B60" s="64"/>
      <c r="C60" s="47"/>
      <c r="D60" s="47"/>
      <c r="E60" s="47"/>
      <c r="F60" s="47"/>
      <c r="G60" s="47"/>
      <c r="H60" s="47"/>
      <c r="I60" s="47"/>
      <c r="J60" s="47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3"/>
    </row>
    <row r="61" spans="2:23" x14ac:dyDescent="0.25">
      <c r="B61" s="64"/>
      <c r="C61" s="47"/>
      <c r="D61" s="47"/>
      <c r="E61" s="47"/>
      <c r="F61" s="47"/>
      <c r="G61" s="47"/>
      <c r="H61" s="47"/>
      <c r="I61" s="47"/>
      <c r="J61" s="47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3"/>
    </row>
    <row r="62" spans="2:23" x14ac:dyDescent="0.25">
      <c r="B62" s="64"/>
      <c r="C62" s="47"/>
      <c r="D62" s="47"/>
      <c r="E62" s="47"/>
      <c r="F62" s="47"/>
      <c r="G62" s="47"/>
      <c r="H62" s="47"/>
      <c r="I62" s="47"/>
      <c r="J62" s="47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3"/>
    </row>
    <row r="63" spans="2:23" x14ac:dyDescent="0.25">
      <c r="B63" s="64"/>
      <c r="C63" s="47"/>
      <c r="D63" s="47"/>
      <c r="E63" s="47"/>
      <c r="F63" s="47"/>
      <c r="G63" s="47"/>
      <c r="H63" s="47"/>
      <c r="I63" s="47"/>
      <c r="J63" s="47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3"/>
    </row>
    <row r="64" spans="2:23" x14ac:dyDescent="0.25">
      <c r="B64" s="64"/>
      <c r="C64" s="47"/>
      <c r="D64" s="47"/>
      <c r="E64" s="47"/>
      <c r="F64" s="47"/>
      <c r="G64" s="47"/>
      <c r="H64" s="47"/>
      <c r="I64" s="47"/>
      <c r="J64" s="47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3"/>
    </row>
    <row r="65" spans="2:23" x14ac:dyDescent="0.25">
      <c r="B65" s="64"/>
      <c r="C65" s="47"/>
      <c r="D65" s="47"/>
      <c r="E65" s="47"/>
      <c r="F65" s="47"/>
      <c r="G65" s="47"/>
      <c r="H65" s="47"/>
      <c r="I65" s="47"/>
      <c r="J65" s="47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3"/>
    </row>
    <row r="66" spans="2:23" x14ac:dyDescent="0.25">
      <c r="B66" s="64"/>
      <c r="C66" s="47"/>
      <c r="D66" s="47"/>
      <c r="E66" s="47"/>
      <c r="F66" s="47"/>
      <c r="G66" s="47"/>
      <c r="H66" s="47"/>
      <c r="I66" s="47"/>
      <c r="J66" s="47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3"/>
    </row>
    <row r="67" spans="2:23" x14ac:dyDescent="0.25">
      <c r="B67" s="64"/>
      <c r="C67" s="47"/>
      <c r="D67" s="47"/>
      <c r="E67" s="47"/>
      <c r="F67" s="47"/>
      <c r="G67" s="47"/>
      <c r="H67" s="47"/>
      <c r="I67" s="47"/>
      <c r="J67" s="47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3"/>
    </row>
    <row r="68" spans="2:23" x14ac:dyDescent="0.25">
      <c r="B68" s="64"/>
      <c r="C68" s="47"/>
      <c r="D68" s="47"/>
      <c r="E68" s="47"/>
      <c r="F68" s="47"/>
      <c r="G68" s="47"/>
      <c r="H68" s="47"/>
      <c r="I68" s="47"/>
      <c r="J68" s="47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3"/>
    </row>
    <row r="69" spans="2:23" x14ac:dyDescent="0.25">
      <c r="B69" s="64"/>
      <c r="C69" s="47"/>
      <c r="D69" s="47"/>
      <c r="E69" s="47"/>
      <c r="F69" s="47"/>
      <c r="G69" s="47"/>
      <c r="H69" s="47"/>
      <c r="I69" s="47"/>
      <c r="J69" s="47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3"/>
    </row>
    <row r="70" spans="2:23" x14ac:dyDescent="0.25">
      <c r="B70" s="64"/>
      <c r="C70" s="47"/>
      <c r="D70" s="47"/>
      <c r="E70" s="47"/>
      <c r="F70" s="47"/>
      <c r="G70" s="47"/>
      <c r="H70" s="47"/>
      <c r="I70" s="47"/>
      <c r="J70" s="47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3"/>
    </row>
    <row r="71" spans="2:23" x14ac:dyDescent="0.25">
      <c r="B71" s="64"/>
      <c r="C71" s="47"/>
      <c r="D71" s="47"/>
      <c r="E71" s="47"/>
      <c r="F71" s="47"/>
      <c r="G71" s="47"/>
      <c r="H71" s="47"/>
      <c r="I71" s="47"/>
      <c r="J71" s="47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3"/>
    </row>
    <row r="72" spans="2:23" x14ac:dyDescent="0.25">
      <c r="B72" s="64"/>
      <c r="C72" s="47"/>
      <c r="D72" s="47"/>
      <c r="E72" s="47"/>
      <c r="F72" s="47"/>
      <c r="G72" s="47"/>
      <c r="H72" s="47"/>
      <c r="I72" s="47"/>
      <c r="J72" s="47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3"/>
    </row>
    <row r="73" spans="2:23" x14ac:dyDescent="0.25">
      <c r="B73" s="64"/>
      <c r="C73" s="47"/>
      <c r="D73" s="47"/>
      <c r="E73" s="47"/>
      <c r="F73" s="47"/>
      <c r="G73" s="47"/>
      <c r="H73" s="47"/>
      <c r="I73" s="47"/>
      <c r="J73" s="47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3"/>
    </row>
    <row r="74" spans="2:23" x14ac:dyDescent="0.25">
      <c r="B74" s="64"/>
      <c r="C74" s="47"/>
      <c r="D74" s="47"/>
      <c r="E74" s="47"/>
      <c r="F74" s="47"/>
      <c r="G74" s="47"/>
      <c r="H74" s="47"/>
      <c r="I74" s="47"/>
      <c r="J74" s="47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3"/>
    </row>
    <row r="75" spans="2:23" x14ac:dyDescent="0.25">
      <c r="B75" s="64"/>
      <c r="C75" s="47"/>
      <c r="D75" s="47"/>
      <c r="E75" s="47"/>
      <c r="F75" s="47"/>
      <c r="G75" s="47"/>
      <c r="H75" s="47"/>
      <c r="I75" s="47"/>
      <c r="J75" s="47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3"/>
    </row>
    <row r="76" spans="2:23" x14ac:dyDescent="0.25">
      <c r="B76" s="64"/>
      <c r="C76" s="47"/>
      <c r="D76" s="47"/>
      <c r="E76" s="47"/>
      <c r="F76" s="47"/>
      <c r="G76" s="47"/>
      <c r="H76" s="47"/>
      <c r="I76" s="47"/>
      <c r="J76" s="47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3"/>
    </row>
    <row r="77" spans="2:23" ht="15.75" thickBot="1" x14ac:dyDescent="0.3">
      <c r="B77" s="65"/>
      <c r="C77" s="66"/>
      <c r="D77" s="66"/>
      <c r="E77" s="66"/>
      <c r="F77" s="66"/>
      <c r="G77" s="66"/>
      <c r="H77" s="66"/>
      <c r="I77" s="66"/>
      <c r="J77" s="66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8"/>
    </row>
    <row r="78" spans="2:23" ht="15.75" thickBot="1" x14ac:dyDescent="0.3"/>
    <row r="79" spans="2:23" x14ac:dyDescent="0.25">
      <c r="B79" s="69"/>
      <c r="C79" s="70"/>
      <c r="D79" s="70"/>
      <c r="E79" s="70"/>
      <c r="F79" s="70"/>
      <c r="G79" s="70"/>
      <c r="H79" s="70"/>
      <c r="I79" s="70"/>
      <c r="J79" s="70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60"/>
    </row>
    <row r="80" spans="2:23" x14ac:dyDescent="0.25">
      <c r="B80" s="64"/>
      <c r="C80" s="47"/>
      <c r="D80" s="47"/>
      <c r="E80" s="47"/>
      <c r="F80" s="47"/>
      <c r="G80" s="47"/>
      <c r="H80" s="47"/>
      <c r="I80" s="47"/>
      <c r="J80" s="47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3"/>
    </row>
    <row r="81" spans="2:23" x14ac:dyDescent="0.25">
      <c r="B81" s="64"/>
      <c r="C81" s="47"/>
      <c r="D81" s="47"/>
      <c r="E81" s="47"/>
      <c r="F81" s="47"/>
      <c r="G81" s="47"/>
      <c r="H81" s="47"/>
      <c r="I81" s="47"/>
      <c r="J81" s="47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3"/>
    </row>
    <row r="82" spans="2:23" x14ac:dyDescent="0.25">
      <c r="B82" s="64"/>
      <c r="C82" s="47"/>
      <c r="D82" s="47"/>
      <c r="E82" s="47"/>
      <c r="F82" s="47"/>
      <c r="G82" s="47"/>
      <c r="H82" s="47"/>
      <c r="I82" s="47"/>
      <c r="J82" s="47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3"/>
    </row>
    <row r="83" spans="2:23" x14ac:dyDescent="0.25">
      <c r="B83" s="64"/>
      <c r="C83" s="47"/>
      <c r="D83" s="47"/>
      <c r="E83" s="47"/>
      <c r="F83" s="47"/>
      <c r="G83" s="47"/>
      <c r="H83" s="47"/>
      <c r="I83" s="47"/>
      <c r="J83" s="47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3"/>
    </row>
    <row r="84" spans="2:23" x14ac:dyDescent="0.25">
      <c r="B84" s="64"/>
      <c r="C84" s="47"/>
      <c r="D84" s="47"/>
      <c r="E84" s="47"/>
      <c r="F84" s="47"/>
      <c r="G84" s="47"/>
      <c r="H84" s="47"/>
      <c r="I84" s="47"/>
      <c r="J84" s="47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3"/>
    </row>
    <row r="85" spans="2:23" x14ac:dyDescent="0.25">
      <c r="B85" s="64"/>
      <c r="C85" s="47"/>
      <c r="D85" s="47"/>
      <c r="E85" s="47"/>
      <c r="F85" s="47"/>
      <c r="G85" s="47"/>
      <c r="H85" s="47"/>
      <c r="I85" s="47"/>
      <c r="J85" s="47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3"/>
    </row>
    <row r="86" spans="2:23" x14ac:dyDescent="0.25">
      <c r="B86" s="64"/>
      <c r="C86" s="47"/>
      <c r="D86" s="47"/>
      <c r="E86" s="47"/>
      <c r="F86" s="47"/>
      <c r="G86" s="47"/>
      <c r="H86" s="47"/>
      <c r="I86" s="47"/>
      <c r="J86" s="47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3"/>
    </row>
    <row r="87" spans="2:23" x14ac:dyDescent="0.25">
      <c r="B87" s="64"/>
      <c r="C87" s="47"/>
      <c r="D87" s="47"/>
      <c r="E87" s="47"/>
      <c r="F87" s="47"/>
      <c r="G87" s="47"/>
      <c r="H87" s="47"/>
      <c r="I87" s="47"/>
      <c r="J87" s="47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3"/>
    </row>
    <row r="88" spans="2:23" x14ac:dyDescent="0.25">
      <c r="B88" s="64"/>
      <c r="C88" s="47"/>
      <c r="D88" s="47"/>
      <c r="E88" s="47"/>
      <c r="F88" s="47"/>
      <c r="G88" s="47"/>
      <c r="H88" s="47"/>
      <c r="I88" s="47"/>
      <c r="J88" s="47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3"/>
    </row>
    <row r="89" spans="2:23" x14ac:dyDescent="0.25">
      <c r="B89" s="64"/>
      <c r="C89" s="47"/>
      <c r="D89" s="47"/>
      <c r="E89" s="47"/>
      <c r="F89" s="47"/>
      <c r="G89" s="47"/>
      <c r="H89" s="47"/>
      <c r="I89" s="47"/>
      <c r="J89" s="47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3"/>
    </row>
    <row r="90" spans="2:23" x14ac:dyDescent="0.25">
      <c r="B90" s="64"/>
      <c r="C90" s="47"/>
      <c r="D90" s="47"/>
      <c r="E90" s="47"/>
      <c r="F90" s="47"/>
      <c r="G90" s="47"/>
      <c r="H90" s="47"/>
      <c r="I90" s="47"/>
      <c r="J90" s="47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3"/>
    </row>
    <row r="91" spans="2:23" x14ac:dyDescent="0.25">
      <c r="B91" s="64"/>
      <c r="C91" s="47"/>
      <c r="D91" s="47"/>
      <c r="E91" s="47"/>
      <c r="F91" s="47"/>
      <c r="G91" s="47"/>
      <c r="H91" s="47"/>
      <c r="I91" s="47"/>
      <c r="J91" s="47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3"/>
    </row>
    <row r="92" spans="2:23" x14ac:dyDescent="0.25">
      <c r="B92" s="64"/>
      <c r="C92" s="47"/>
      <c r="D92" s="47"/>
      <c r="E92" s="47"/>
      <c r="F92" s="47"/>
      <c r="G92" s="47"/>
      <c r="H92" s="47"/>
      <c r="I92" s="47"/>
      <c r="J92" s="47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3"/>
    </row>
    <row r="93" spans="2:23" x14ac:dyDescent="0.25">
      <c r="B93" s="64"/>
      <c r="C93" s="47"/>
      <c r="D93" s="47"/>
      <c r="E93" s="47"/>
      <c r="F93" s="47"/>
      <c r="G93" s="47"/>
      <c r="H93" s="47"/>
      <c r="I93" s="47"/>
      <c r="J93" s="47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3"/>
    </row>
    <row r="94" spans="2:23" x14ac:dyDescent="0.25">
      <c r="B94" s="64"/>
      <c r="C94" s="47"/>
      <c r="D94" s="47"/>
      <c r="E94" s="47"/>
      <c r="F94" s="47"/>
      <c r="G94" s="47"/>
      <c r="H94" s="47"/>
      <c r="I94" s="47"/>
      <c r="J94" s="47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3"/>
    </row>
    <row r="95" spans="2:23" x14ac:dyDescent="0.25">
      <c r="B95" s="64"/>
      <c r="C95" s="47"/>
      <c r="D95" s="47"/>
      <c r="E95" s="47"/>
      <c r="F95" s="47"/>
      <c r="G95" s="47"/>
      <c r="H95" s="47"/>
      <c r="I95" s="47"/>
      <c r="J95" s="47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3"/>
    </row>
    <row r="96" spans="2:23" x14ac:dyDescent="0.25">
      <c r="B96" s="64"/>
      <c r="C96" s="47"/>
      <c r="D96" s="47"/>
      <c r="E96" s="47"/>
      <c r="F96" s="47"/>
      <c r="G96" s="47"/>
      <c r="H96" s="47"/>
      <c r="I96" s="47"/>
      <c r="J96" s="47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3"/>
    </row>
    <row r="97" spans="2:23" x14ac:dyDescent="0.25">
      <c r="B97" s="64"/>
      <c r="C97" s="47"/>
      <c r="D97" s="47"/>
      <c r="E97" s="47"/>
      <c r="F97" s="47"/>
      <c r="G97" s="47"/>
      <c r="H97" s="47"/>
      <c r="I97" s="47"/>
      <c r="J97" s="47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</row>
    <row r="98" spans="2:23" x14ac:dyDescent="0.25">
      <c r="B98" s="64"/>
      <c r="C98" s="47"/>
      <c r="D98" s="47"/>
      <c r="E98" s="47"/>
      <c r="F98" s="47"/>
      <c r="G98" s="47"/>
      <c r="H98" s="47"/>
      <c r="I98" s="47"/>
      <c r="J98" s="47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3"/>
    </row>
    <row r="99" spans="2:23" x14ac:dyDescent="0.25">
      <c r="B99" s="64"/>
      <c r="C99" s="47"/>
      <c r="D99" s="47"/>
      <c r="E99" s="47"/>
      <c r="F99" s="47"/>
      <c r="G99" s="47"/>
      <c r="H99" s="47"/>
      <c r="I99" s="47"/>
      <c r="J99" s="47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3"/>
    </row>
    <row r="100" spans="2:23" x14ac:dyDescent="0.25">
      <c r="B100" s="64"/>
      <c r="C100" s="47"/>
      <c r="D100" s="47"/>
      <c r="E100" s="47"/>
      <c r="F100" s="47"/>
      <c r="G100" s="47"/>
      <c r="H100" s="47"/>
      <c r="I100" s="47"/>
      <c r="J100" s="47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3"/>
    </row>
    <row r="101" spans="2:23" x14ac:dyDescent="0.25">
      <c r="B101" s="64"/>
      <c r="C101" s="47"/>
      <c r="D101" s="47"/>
      <c r="E101" s="47"/>
      <c r="F101" s="47"/>
      <c r="G101" s="47"/>
      <c r="H101" s="47"/>
      <c r="I101" s="47"/>
      <c r="J101" s="47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3"/>
    </row>
    <row r="102" spans="2:23" x14ac:dyDescent="0.25">
      <c r="B102" s="64"/>
      <c r="C102" s="47"/>
      <c r="D102" s="47"/>
      <c r="E102" s="47"/>
      <c r="F102" s="47"/>
      <c r="G102" s="47"/>
      <c r="H102" s="47"/>
      <c r="I102" s="47"/>
      <c r="J102" s="47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3"/>
    </row>
    <row r="103" spans="2:23" x14ac:dyDescent="0.25">
      <c r="B103" s="64"/>
      <c r="C103" s="47"/>
      <c r="D103" s="47"/>
      <c r="E103" s="47"/>
      <c r="F103" s="47"/>
      <c r="G103" s="47"/>
      <c r="H103" s="47"/>
      <c r="I103" s="47"/>
      <c r="J103" s="47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3"/>
    </row>
    <row r="104" spans="2:23" x14ac:dyDescent="0.25">
      <c r="B104" s="64"/>
      <c r="C104" s="47"/>
      <c r="D104" s="47"/>
      <c r="E104" s="47"/>
      <c r="F104" s="47"/>
      <c r="G104" s="47"/>
      <c r="H104" s="47"/>
      <c r="I104" s="47"/>
      <c r="J104" s="47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3"/>
    </row>
    <row r="105" spans="2:23" x14ac:dyDescent="0.25">
      <c r="B105" s="64"/>
      <c r="C105" s="47"/>
      <c r="D105" s="47"/>
      <c r="E105" s="47"/>
      <c r="F105" s="47"/>
      <c r="G105" s="47"/>
      <c r="H105" s="47"/>
      <c r="I105" s="47"/>
      <c r="J105" s="47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3"/>
    </row>
    <row r="106" spans="2:23" x14ac:dyDescent="0.25">
      <c r="B106" s="64"/>
      <c r="C106" s="47"/>
      <c r="D106" s="47"/>
      <c r="E106" s="47"/>
      <c r="F106" s="47"/>
      <c r="G106" s="47"/>
      <c r="H106" s="47"/>
      <c r="I106" s="47"/>
      <c r="J106" s="47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3"/>
    </row>
    <row r="107" spans="2:23" x14ac:dyDescent="0.25">
      <c r="B107" s="64"/>
      <c r="C107" s="47"/>
      <c r="D107" s="47"/>
      <c r="E107" s="47"/>
      <c r="F107" s="47"/>
      <c r="G107" s="47"/>
      <c r="H107" s="47"/>
      <c r="I107" s="47"/>
      <c r="J107" s="47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3"/>
    </row>
    <row r="108" spans="2:23" x14ac:dyDescent="0.25">
      <c r="B108" s="64"/>
      <c r="C108" s="47"/>
      <c r="D108" s="47"/>
      <c r="E108" s="47"/>
      <c r="F108" s="47"/>
      <c r="G108" s="47"/>
      <c r="H108" s="47"/>
      <c r="I108" s="47"/>
      <c r="J108" s="47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3"/>
    </row>
    <row r="109" spans="2:23" ht="15.75" thickBot="1" x14ac:dyDescent="0.3">
      <c r="B109" s="65"/>
      <c r="C109" s="66"/>
      <c r="D109" s="66"/>
      <c r="E109" s="66"/>
      <c r="F109" s="66"/>
      <c r="G109" s="66"/>
      <c r="H109" s="66"/>
      <c r="I109" s="66"/>
      <c r="J109" s="66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8"/>
    </row>
    <row r="110" spans="2:23" ht="15.75" thickBot="1" x14ac:dyDescent="0.3"/>
    <row r="111" spans="2:23" x14ac:dyDescent="0.25">
      <c r="B111" s="69"/>
      <c r="C111" s="70"/>
      <c r="D111" s="70"/>
      <c r="E111" s="70"/>
      <c r="F111" s="70"/>
      <c r="G111" s="70"/>
      <c r="H111" s="70"/>
      <c r="I111" s="70"/>
      <c r="J111" s="70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60"/>
    </row>
    <row r="112" spans="2:23" x14ac:dyDescent="0.25">
      <c r="B112" s="64"/>
      <c r="C112" s="47"/>
      <c r="D112" s="47"/>
      <c r="E112" s="47"/>
      <c r="F112" s="47"/>
      <c r="G112" s="47"/>
      <c r="H112" s="47"/>
      <c r="I112" s="47"/>
      <c r="J112" s="47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3"/>
    </row>
    <row r="113" spans="2:23" x14ac:dyDescent="0.25">
      <c r="B113" s="64"/>
      <c r="C113" s="47"/>
      <c r="D113" s="47"/>
      <c r="E113" s="47"/>
      <c r="F113" s="47"/>
      <c r="G113" s="47"/>
      <c r="H113" s="47"/>
      <c r="I113" s="47"/>
      <c r="J113" s="47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3"/>
    </row>
    <row r="114" spans="2:23" x14ac:dyDescent="0.25">
      <c r="B114" s="64"/>
      <c r="C114" s="47"/>
      <c r="D114" s="47"/>
      <c r="E114" s="47"/>
      <c r="F114" s="47"/>
      <c r="G114" s="47"/>
      <c r="H114" s="47"/>
      <c r="I114" s="47"/>
      <c r="J114" s="47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3"/>
    </row>
    <row r="115" spans="2:23" x14ac:dyDescent="0.25">
      <c r="B115" s="64"/>
      <c r="C115" s="47"/>
      <c r="D115" s="47"/>
      <c r="E115" s="47"/>
      <c r="F115" s="47"/>
      <c r="G115" s="47"/>
      <c r="H115" s="47"/>
      <c r="I115" s="47"/>
      <c r="J115" s="47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3"/>
    </row>
    <row r="116" spans="2:23" x14ac:dyDescent="0.25">
      <c r="B116" s="64"/>
      <c r="C116" s="47"/>
      <c r="D116" s="47"/>
      <c r="E116" s="47"/>
      <c r="F116" s="47"/>
      <c r="G116" s="47"/>
      <c r="H116" s="47"/>
      <c r="I116" s="47"/>
      <c r="J116" s="47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3"/>
    </row>
    <row r="117" spans="2:23" x14ac:dyDescent="0.25">
      <c r="B117" s="64"/>
      <c r="C117" s="47"/>
      <c r="D117" s="47"/>
      <c r="E117" s="47"/>
      <c r="F117" s="47"/>
      <c r="G117" s="47"/>
      <c r="H117" s="47"/>
      <c r="I117" s="47"/>
      <c r="J117" s="47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3"/>
    </row>
    <row r="118" spans="2:23" x14ac:dyDescent="0.25">
      <c r="B118" s="64"/>
      <c r="C118" s="47"/>
      <c r="D118" s="47"/>
      <c r="E118" s="47"/>
      <c r="F118" s="47"/>
      <c r="G118" s="47"/>
      <c r="H118" s="47"/>
      <c r="I118" s="47"/>
      <c r="J118" s="47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3"/>
    </row>
    <row r="119" spans="2:23" x14ac:dyDescent="0.25">
      <c r="B119" s="64"/>
      <c r="C119" s="47"/>
      <c r="D119" s="47"/>
      <c r="E119" s="47"/>
      <c r="F119" s="47"/>
      <c r="G119" s="47"/>
      <c r="H119" s="47"/>
      <c r="I119" s="47"/>
      <c r="J119" s="47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3"/>
    </row>
    <row r="120" spans="2:23" x14ac:dyDescent="0.25">
      <c r="B120" s="64"/>
      <c r="C120" s="47"/>
      <c r="D120" s="47"/>
      <c r="E120" s="47"/>
      <c r="F120" s="47"/>
      <c r="G120" s="47"/>
      <c r="H120" s="47"/>
      <c r="I120" s="47"/>
      <c r="J120" s="47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3"/>
    </row>
    <row r="121" spans="2:23" x14ac:dyDescent="0.25">
      <c r="B121" s="64"/>
      <c r="C121" s="47"/>
      <c r="D121" s="47"/>
      <c r="E121" s="47"/>
      <c r="F121" s="47"/>
      <c r="G121" s="47"/>
      <c r="H121" s="47"/>
      <c r="I121" s="47"/>
      <c r="J121" s="47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3"/>
    </row>
    <row r="122" spans="2:23" x14ac:dyDescent="0.25">
      <c r="B122" s="64"/>
      <c r="C122" s="47"/>
      <c r="D122" s="47"/>
      <c r="E122" s="47"/>
      <c r="F122" s="47"/>
      <c r="G122" s="47"/>
      <c r="H122" s="47"/>
      <c r="I122" s="47"/>
      <c r="J122" s="47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3"/>
    </row>
    <row r="123" spans="2:23" x14ac:dyDescent="0.25">
      <c r="B123" s="64"/>
      <c r="C123" s="47"/>
      <c r="D123" s="47"/>
      <c r="E123" s="47"/>
      <c r="F123" s="47"/>
      <c r="G123" s="47"/>
      <c r="H123" s="47"/>
      <c r="I123" s="47"/>
      <c r="J123" s="47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3"/>
    </row>
    <row r="124" spans="2:23" x14ac:dyDescent="0.25">
      <c r="B124" s="64"/>
      <c r="C124" s="47"/>
      <c r="D124" s="47"/>
      <c r="E124" s="47"/>
      <c r="F124" s="47"/>
      <c r="G124" s="47"/>
      <c r="H124" s="47"/>
      <c r="I124" s="47"/>
      <c r="J124" s="47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3"/>
    </row>
    <row r="125" spans="2:23" x14ac:dyDescent="0.25">
      <c r="B125" s="64"/>
      <c r="C125" s="47"/>
      <c r="D125" s="47"/>
      <c r="E125" s="47"/>
      <c r="F125" s="47"/>
      <c r="G125" s="47"/>
      <c r="H125" s="47"/>
      <c r="I125" s="47"/>
      <c r="J125" s="47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3"/>
    </row>
    <row r="126" spans="2:23" x14ac:dyDescent="0.25">
      <c r="B126" s="64"/>
      <c r="C126" s="47"/>
      <c r="D126" s="47"/>
      <c r="E126" s="47"/>
      <c r="F126" s="47"/>
      <c r="G126" s="47"/>
      <c r="H126" s="47"/>
      <c r="I126" s="47"/>
      <c r="J126" s="47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3"/>
    </row>
    <row r="127" spans="2:23" x14ac:dyDescent="0.25">
      <c r="B127" s="64"/>
      <c r="C127" s="47"/>
      <c r="D127" s="47"/>
      <c r="E127" s="47"/>
      <c r="F127" s="47"/>
      <c r="G127" s="47"/>
      <c r="H127" s="47"/>
      <c r="I127" s="47"/>
      <c r="J127" s="47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3"/>
    </row>
    <row r="128" spans="2:23" x14ac:dyDescent="0.25">
      <c r="B128" s="64"/>
      <c r="C128" s="47"/>
      <c r="D128" s="47"/>
      <c r="E128" s="47"/>
      <c r="F128" s="47"/>
      <c r="G128" s="47"/>
      <c r="H128" s="47"/>
      <c r="I128" s="47"/>
      <c r="J128" s="47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3"/>
    </row>
    <row r="129" spans="2:23" x14ac:dyDescent="0.25">
      <c r="B129" s="64"/>
      <c r="C129" s="47"/>
      <c r="D129" s="47"/>
      <c r="E129" s="47"/>
      <c r="F129" s="47"/>
      <c r="G129" s="47"/>
      <c r="H129" s="47"/>
      <c r="I129" s="47"/>
      <c r="J129" s="47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3"/>
    </row>
    <row r="130" spans="2:23" x14ac:dyDescent="0.25">
      <c r="B130" s="64"/>
      <c r="C130" s="47"/>
      <c r="D130" s="47"/>
      <c r="E130" s="47"/>
      <c r="F130" s="47"/>
      <c r="G130" s="47"/>
      <c r="H130" s="47"/>
      <c r="I130" s="47"/>
      <c r="J130" s="47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3"/>
    </row>
    <row r="131" spans="2:23" x14ac:dyDescent="0.25">
      <c r="B131" s="64"/>
      <c r="C131" s="47"/>
      <c r="D131" s="47"/>
      <c r="E131" s="47"/>
      <c r="F131" s="47"/>
      <c r="G131" s="47"/>
      <c r="H131" s="47"/>
      <c r="I131" s="47"/>
      <c r="J131" s="47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3"/>
    </row>
    <row r="132" spans="2:23" x14ac:dyDescent="0.25">
      <c r="B132" s="64"/>
      <c r="C132" s="47"/>
      <c r="D132" s="47"/>
      <c r="E132" s="47"/>
      <c r="F132" s="47"/>
      <c r="G132" s="47"/>
      <c r="H132" s="47"/>
      <c r="I132" s="47"/>
      <c r="J132" s="47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3"/>
    </row>
    <row r="133" spans="2:23" x14ac:dyDescent="0.25">
      <c r="B133" s="64"/>
      <c r="C133" s="47"/>
      <c r="D133" s="47"/>
      <c r="E133" s="47"/>
      <c r="F133" s="47"/>
      <c r="G133" s="47"/>
      <c r="H133" s="47"/>
      <c r="I133" s="47"/>
      <c r="J133" s="47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3"/>
    </row>
    <row r="134" spans="2:23" x14ac:dyDescent="0.25">
      <c r="B134" s="64"/>
      <c r="C134" s="47"/>
      <c r="D134" s="47"/>
      <c r="E134" s="47"/>
      <c r="F134" s="47"/>
      <c r="G134" s="47"/>
      <c r="H134" s="47"/>
      <c r="I134" s="47"/>
      <c r="J134" s="47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3"/>
    </row>
    <row r="135" spans="2:23" x14ac:dyDescent="0.25">
      <c r="B135" s="64"/>
      <c r="C135" s="47"/>
      <c r="D135" s="47"/>
      <c r="E135" s="47"/>
      <c r="F135" s="47"/>
      <c r="G135" s="47"/>
      <c r="H135" s="47"/>
      <c r="I135" s="47"/>
      <c r="J135" s="47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3"/>
    </row>
    <row r="136" spans="2:23" x14ac:dyDescent="0.25">
      <c r="B136" s="64"/>
      <c r="C136" s="47"/>
      <c r="D136" s="47"/>
      <c r="E136" s="47"/>
      <c r="F136" s="47"/>
      <c r="G136" s="47"/>
      <c r="H136" s="47"/>
      <c r="I136" s="47"/>
      <c r="J136" s="47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3"/>
    </row>
    <row r="137" spans="2:23" x14ac:dyDescent="0.25">
      <c r="B137" s="64"/>
      <c r="C137" s="47"/>
      <c r="D137" s="47"/>
      <c r="E137" s="47"/>
      <c r="F137" s="47"/>
      <c r="G137" s="47"/>
      <c r="H137" s="47"/>
      <c r="I137" s="47"/>
      <c r="J137" s="47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3"/>
    </row>
    <row r="138" spans="2:23" x14ac:dyDescent="0.25">
      <c r="B138" s="64"/>
      <c r="C138" s="47"/>
      <c r="D138" s="47"/>
      <c r="E138" s="47"/>
      <c r="F138" s="47"/>
      <c r="G138" s="47"/>
      <c r="H138" s="47"/>
      <c r="I138" s="47"/>
      <c r="J138" s="47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3"/>
    </row>
    <row r="139" spans="2:23" x14ac:dyDescent="0.25">
      <c r="B139" s="64"/>
      <c r="C139" s="47"/>
      <c r="D139" s="47"/>
      <c r="E139" s="47"/>
      <c r="F139" s="47"/>
      <c r="G139" s="47"/>
      <c r="H139" s="47"/>
      <c r="I139" s="47"/>
      <c r="J139" s="47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3"/>
    </row>
    <row r="140" spans="2:23" x14ac:dyDescent="0.25">
      <c r="B140" s="64"/>
      <c r="C140" s="47"/>
      <c r="D140" s="47"/>
      <c r="E140" s="47"/>
      <c r="F140" s="47"/>
      <c r="G140" s="47"/>
      <c r="H140" s="47"/>
      <c r="I140" s="47"/>
      <c r="J140" s="47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3"/>
    </row>
    <row r="141" spans="2:23" ht="15.75" thickBot="1" x14ac:dyDescent="0.3">
      <c r="B141" s="65"/>
      <c r="C141" s="66"/>
      <c r="D141" s="66"/>
      <c r="E141" s="66"/>
      <c r="F141" s="66"/>
      <c r="G141" s="66"/>
      <c r="H141" s="66"/>
      <c r="I141" s="66"/>
      <c r="J141" s="66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8"/>
    </row>
    <row r="142" spans="2:23" ht="15.75" thickBot="1" x14ac:dyDescent="0.3"/>
    <row r="143" spans="2:23" x14ac:dyDescent="0.25">
      <c r="B143" s="69"/>
      <c r="C143" s="70"/>
      <c r="D143" s="70"/>
      <c r="E143" s="70"/>
      <c r="F143" s="70"/>
      <c r="G143" s="70"/>
      <c r="H143" s="70"/>
      <c r="I143" s="70"/>
      <c r="J143" s="70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60"/>
    </row>
    <row r="144" spans="2:23" x14ac:dyDescent="0.25">
      <c r="B144" s="64"/>
      <c r="C144" s="47"/>
      <c r="D144" s="47"/>
      <c r="E144" s="47"/>
      <c r="F144" s="47"/>
      <c r="G144" s="47"/>
      <c r="H144" s="47"/>
      <c r="I144" s="47"/>
      <c r="J144" s="47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3"/>
    </row>
    <row r="145" spans="2:23" x14ac:dyDescent="0.25">
      <c r="B145" s="64"/>
      <c r="C145" s="47"/>
      <c r="D145" s="47"/>
      <c r="E145" s="47"/>
      <c r="F145" s="47"/>
      <c r="G145" s="47"/>
      <c r="H145" s="47"/>
      <c r="I145" s="47"/>
      <c r="J145" s="47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3"/>
    </row>
    <row r="146" spans="2:23" x14ac:dyDescent="0.25">
      <c r="B146" s="64"/>
      <c r="C146" s="47"/>
      <c r="D146" s="47"/>
      <c r="E146" s="47"/>
      <c r="F146" s="47"/>
      <c r="G146" s="47"/>
      <c r="H146" s="47"/>
      <c r="I146" s="47"/>
      <c r="J146" s="47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3"/>
    </row>
    <row r="147" spans="2:23" x14ac:dyDescent="0.25">
      <c r="B147" s="64"/>
      <c r="C147" s="47"/>
      <c r="D147" s="47"/>
      <c r="E147" s="47"/>
      <c r="F147" s="47"/>
      <c r="G147" s="47"/>
      <c r="H147" s="47"/>
      <c r="I147" s="47"/>
      <c r="J147" s="47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3"/>
    </row>
    <row r="148" spans="2:23" x14ac:dyDescent="0.25">
      <c r="B148" s="64"/>
      <c r="C148" s="47"/>
      <c r="D148" s="47"/>
      <c r="E148" s="47"/>
      <c r="F148" s="47"/>
      <c r="G148" s="47"/>
      <c r="H148" s="47"/>
      <c r="I148" s="47"/>
      <c r="J148" s="47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3"/>
    </row>
    <row r="149" spans="2:23" x14ac:dyDescent="0.25">
      <c r="B149" s="64"/>
      <c r="C149" s="47"/>
      <c r="D149" s="47"/>
      <c r="E149" s="47"/>
      <c r="F149" s="47"/>
      <c r="G149" s="47"/>
      <c r="H149" s="47"/>
      <c r="I149" s="47"/>
      <c r="J149" s="47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3"/>
    </row>
    <row r="150" spans="2:23" x14ac:dyDescent="0.25">
      <c r="B150" s="64"/>
      <c r="C150" s="47"/>
      <c r="D150" s="47"/>
      <c r="E150" s="47"/>
      <c r="F150" s="47"/>
      <c r="G150" s="47"/>
      <c r="H150" s="47"/>
      <c r="I150" s="47"/>
      <c r="J150" s="47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3"/>
    </row>
    <row r="151" spans="2:23" x14ac:dyDescent="0.25">
      <c r="B151" s="64"/>
      <c r="C151" s="47"/>
      <c r="D151" s="47"/>
      <c r="E151" s="47"/>
      <c r="F151" s="47"/>
      <c r="G151" s="47"/>
      <c r="H151" s="47"/>
      <c r="I151" s="47"/>
      <c r="J151" s="47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3"/>
    </row>
    <row r="152" spans="2:23" x14ac:dyDescent="0.25">
      <c r="B152" s="64"/>
      <c r="C152" s="47"/>
      <c r="D152" s="47"/>
      <c r="E152" s="47"/>
      <c r="F152" s="47"/>
      <c r="G152" s="47"/>
      <c r="H152" s="47"/>
      <c r="I152" s="47"/>
      <c r="J152" s="47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3"/>
    </row>
    <row r="153" spans="2:23" x14ac:dyDescent="0.25">
      <c r="B153" s="64"/>
      <c r="C153" s="47"/>
      <c r="D153" s="47"/>
      <c r="E153" s="47"/>
      <c r="F153" s="47"/>
      <c r="G153" s="47"/>
      <c r="H153" s="47"/>
      <c r="I153" s="47"/>
      <c r="J153" s="47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3"/>
    </row>
    <row r="154" spans="2:23" x14ac:dyDescent="0.25">
      <c r="B154" s="64"/>
      <c r="C154" s="47"/>
      <c r="D154" s="47"/>
      <c r="E154" s="47"/>
      <c r="F154" s="47"/>
      <c r="G154" s="47"/>
      <c r="H154" s="47"/>
      <c r="I154" s="47"/>
      <c r="J154" s="47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3"/>
    </row>
    <row r="155" spans="2:23" x14ac:dyDescent="0.25">
      <c r="B155" s="64"/>
      <c r="C155" s="47"/>
      <c r="D155" s="47"/>
      <c r="E155" s="47"/>
      <c r="F155" s="47"/>
      <c r="G155" s="47"/>
      <c r="H155" s="47"/>
      <c r="I155" s="47"/>
      <c r="J155" s="47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3"/>
    </row>
    <row r="156" spans="2:23" x14ac:dyDescent="0.25">
      <c r="B156" s="64"/>
      <c r="C156" s="47"/>
      <c r="D156" s="47"/>
      <c r="E156" s="47"/>
      <c r="F156" s="47"/>
      <c r="G156" s="47"/>
      <c r="H156" s="47"/>
      <c r="I156" s="47"/>
      <c r="J156" s="47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3"/>
    </row>
    <row r="157" spans="2:23" x14ac:dyDescent="0.25">
      <c r="B157" s="64"/>
      <c r="C157" s="47"/>
      <c r="D157" s="47"/>
      <c r="E157" s="47"/>
      <c r="F157" s="47"/>
      <c r="G157" s="47"/>
      <c r="H157" s="47"/>
      <c r="I157" s="47"/>
      <c r="J157" s="47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3"/>
    </row>
    <row r="158" spans="2:23" x14ac:dyDescent="0.25">
      <c r="B158" s="64"/>
      <c r="C158" s="47"/>
      <c r="D158" s="47"/>
      <c r="E158" s="47"/>
      <c r="F158" s="47"/>
      <c r="G158" s="47"/>
      <c r="H158" s="47"/>
      <c r="I158" s="47"/>
      <c r="J158" s="47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3"/>
    </row>
    <row r="159" spans="2:23" x14ac:dyDescent="0.25">
      <c r="B159" s="64"/>
      <c r="C159" s="47"/>
      <c r="D159" s="47"/>
      <c r="E159" s="47"/>
      <c r="F159" s="47"/>
      <c r="G159" s="47"/>
      <c r="H159" s="47"/>
      <c r="I159" s="47"/>
      <c r="J159" s="47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3"/>
    </row>
    <row r="160" spans="2:23" x14ac:dyDescent="0.25">
      <c r="B160" s="64"/>
      <c r="C160" s="47"/>
      <c r="D160" s="47"/>
      <c r="E160" s="47"/>
      <c r="F160" s="47"/>
      <c r="G160" s="47"/>
      <c r="H160" s="47"/>
      <c r="I160" s="47"/>
      <c r="J160" s="47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3"/>
    </row>
    <row r="161" spans="2:23" x14ac:dyDescent="0.25">
      <c r="B161" s="64"/>
      <c r="C161" s="47"/>
      <c r="D161" s="47"/>
      <c r="E161" s="47"/>
      <c r="F161" s="47"/>
      <c r="G161" s="47"/>
      <c r="H161" s="47"/>
      <c r="I161" s="47"/>
      <c r="J161" s="47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3"/>
    </row>
    <row r="162" spans="2:23" x14ac:dyDescent="0.25">
      <c r="B162" s="64"/>
      <c r="C162" s="47"/>
      <c r="D162" s="47"/>
      <c r="E162" s="47"/>
      <c r="F162" s="47"/>
      <c r="G162" s="47"/>
      <c r="H162" s="47"/>
      <c r="I162" s="47"/>
      <c r="J162" s="47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3"/>
    </row>
    <row r="163" spans="2:23" x14ac:dyDescent="0.25">
      <c r="B163" s="64"/>
      <c r="C163" s="47"/>
      <c r="D163" s="47"/>
      <c r="E163" s="47"/>
      <c r="F163" s="47"/>
      <c r="G163" s="47"/>
      <c r="H163" s="47"/>
      <c r="I163" s="47"/>
      <c r="J163" s="47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3"/>
    </row>
    <row r="164" spans="2:23" x14ac:dyDescent="0.25">
      <c r="B164" s="64"/>
      <c r="C164" s="47"/>
      <c r="D164" s="47"/>
      <c r="E164" s="47"/>
      <c r="F164" s="47"/>
      <c r="G164" s="47"/>
      <c r="H164" s="47"/>
      <c r="I164" s="47"/>
      <c r="J164" s="47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3"/>
    </row>
    <row r="165" spans="2:23" x14ac:dyDescent="0.25">
      <c r="B165" s="64"/>
      <c r="C165" s="47"/>
      <c r="D165" s="47"/>
      <c r="E165" s="47"/>
      <c r="F165" s="47"/>
      <c r="G165" s="47"/>
      <c r="H165" s="47"/>
      <c r="I165" s="47"/>
      <c r="J165" s="47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3"/>
    </row>
    <row r="166" spans="2:23" x14ac:dyDescent="0.25">
      <c r="B166" s="64"/>
      <c r="C166" s="47"/>
      <c r="D166" s="47"/>
      <c r="E166" s="47"/>
      <c r="F166" s="47"/>
      <c r="G166" s="47"/>
      <c r="H166" s="47"/>
      <c r="I166" s="47"/>
      <c r="J166" s="47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3"/>
    </row>
    <row r="167" spans="2:23" x14ac:dyDescent="0.25">
      <c r="B167" s="64"/>
      <c r="C167" s="47"/>
      <c r="D167" s="47"/>
      <c r="E167" s="47"/>
      <c r="F167" s="47"/>
      <c r="G167" s="47"/>
      <c r="H167" s="47"/>
      <c r="I167" s="47"/>
      <c r="J167" s="47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3"/>
    </row>
    <row r="168" spans="2:23" x14ac:dyDescent="0.25">
      <c r="B168" s="64"/>
      <c r="C168" s="47"/>
      <c r="D168" s="47"/>
      <c r="E168" s="47"/>
      <c r="F168" s="47"/>
      <c r="G168" s="47"/>
      <c r="H168" s="47"/>
      <c r="I168" s="47"/>
      <c r="J168" s="47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3"/>
    </row>
    <row r="169" spans="2:23" x14ac:dyDescent="0.25">
      <c r="B169" s="64"/>
      <c r="C169" s="47"/>
      <c r="D169" s="47"/>
      <c r="E169" s="47"/>
      <c r="F169" s="47"/>
      <c r="G169" s="47"/>
      <c r="H169" s="47"/>
      <c r="I169" s="47"/>
      <c r="J169" s="47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3"/>
    </row>
    <row r="170" spans="2:23" x14ac:dyDescent="0.25">
      <c r="B170" s="64"/>
      <c r="C170" s="47"/>
      <c r="D170" s="47"/>
      <c r="E170" s="47"/>
      <c r="F170" s="47"/>
      <c r="G170" s="47"/>
      <c r="H170" s="47"/>
      <c r="I170" s="47"/>
      <c r="J170" s="47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3"/>
    </row>
    <row r="171" spans="2:23" x14ac:dyDescent="0.25">
      <c r="B171" s="64"/>
      <c r="C171" s="47"/>
      <c r="D171" s="47"/>
      <c r="E171" s="47"/>
      <c r="F171" s="47"/>
      <c r="G171" s="47"/>
      <c r="H171" s="47"/>
      <c r="I171" s="47"/>
      <c r="J171" s="47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3"/>
    </row>
    <row r="172" spans="2:23" x14ac:dyDescent="0.25">
      <c r="B172" s="64"/>
      <c r="C172" s="47"/>
      <c r="D172" s="47"/>
      <c r="E172" s="47"/>
      <c r="F172" s="47"/>
      <c r="G172" s="47"/>
      <c r="H172" s="47"/>
      <c r="I172" s="47"/>
      <c r="J172" s="47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3"/>
    </row>
    <row r="173" spans="2:23" ht="15.75" thickBot="1" x14ac:dyDescent="0.3">
      <c r="B173" s="65"/>
      <c r="C173" s="66"/>
      <c r="D173" s="66"/>
      <c r="E173" s="66"/>
      <c r="F173" s="66"/>
      <c r="G173" s="66"/>
      <c r="H173" s="66"/>
      <c r="I173" s="66"/>
      <c r="J173" s="66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8"/>
    </row>
    <row r="174" spans="2:23" ht="15.75" thickBot="1" x14ac:dyDescent="0.3"/>
    <row r="175" spans="2:23" x14ac:dyDescent="0.25">
      <c r="B175" s="69"/>
      <c r="C175" s="70"/>
      <c r="D175" s="70"/>
      <c r="E175" s="70"/>
      <c r="F175" s="70"/>
      <c r="G175" s="70"/>
      <c r="H175" s="70"/>
      <c r="I175" s="70"/>
      <c r="J175" s="70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60"/>
    </row>
    <row r="176" spans="2:23" x14ac:dyDescent="0.25">
      <c r="B176" s="64"/>
      <c r="C176" s="47"/>
      <c r="D176" s="47"/>
      <c r="E176" s="47"/>
      <c r="F176" s="47"/>
      <c r="G176" s="47"/>
      <c r="H176" s="47"/>
      <c r="I176" s="47"/>
      <c r="J176" s="47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3"/>
    </row>
    <row r="177" spans="2:23" x14ac:dyDescent="0.25">
      <c r="B177" s="64"/>
      <c r="C177" s="47"/>
      <c r="D177" s="47"/>
      <c r="E177" s="47"/>
      <c r="F177" s="47"/>
      <c r="G177" s="47"/>
      <c r="H177" s="47"/>
      <c r="I177" s="47"/>
      <c r="J177" s="47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3"/>
    </row>
    <row r="178" spans="2:23" x14ac:dyDescent="0.25">
      <c r="B178" s="64"/>
      <c r="C178" s="47"/>
      <c r="D178" s="47"/>
      <c r="E178" s="47"/>
      <c r="F178" s="47"/>
      <c r="G178" s="47"/>
      <c r="H178" s="47"/>
      <c r="I178" s="47"/>
      <c r="J178" s="47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3"/>
    </row>
    <row r="179" spans="2:23" x14ac:dyDescent="0.25">
      <c r="B179" s="64"/>
      <c r="C179" s="47"/>
      <c r="D179" s="47"/>
      <c r="E179" s="47"/>
      <c r="F179" s="47"/>
      <c r="G179" s="47"/>
      <c r="H179" s="47"/>
      <c r="I179" s="47"/>
      <c r="J179" s="47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3"/>
    </row>
    <row r="180" spans="2:23" x14ac:dyDescent="0.25">
      <c r="B180" s="64"/>
      <c r="C180" s="47"/>
      <c r="D180" s="47"/>
      <c r="E180" s="47"/>
      <c r="F180" s="47"/>
      <c r="G180" s="47"/>
      <c r="H180" s="47"/>
      <c r="I180" s="47"/>
      <c r="J180" s="47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3"/>
    </row>
    <row r="181" spans="2:23" x14ac:dyDescent="0.25">
      <c r="B181" s="64"/>
      <c r="C181" s="47"/>
      <c r="D181" s="47"/>
      <c r="E181" s="47"/>
      <c r="F181" s="47"/>
      <c r="G181" s="47"/>
      <c r="H181" s="47"/>
      <c r="I181" s="47"/>
      <c r="J181" s="47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3"/>
    </row>
    <row r="182" spans="2:23" x14ac:dyDescent="0.25">
      <c r="B182" s="64"/>
      <c r="C182" s="47"/>
      <c r="D182" s="47"/>
      <c r="E182" s="47"/>
      <c r="F182" s="47"/>
      <c r="G182" s="47"/>
      <c r="H182" s="47"/>
      <c r="I182" s="47"/>
      <c r="J182" s="47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3"/>
    </row>
    <row r="183" spans="2:23" x14ac:dyDescent="0.25">
      <c r="B183" s="64"/>
      <c r="C183" s="47"/>
      <c r="D183" s="47"/>
      <c r="E183" s="47"/>
      <c r="F183" s="47"/>
      <c r="G183" s="47"/>
      <c r="H183" s="47"/>
      <c r="I183" s="47"/>
      <c r="J183" s="47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3"/>
    </row>
    <row r="184" spans="2:23" x14ac:dyDescent="0.25">
      <c r="B184" s="64"/>
      <c r="C184" s="47"/>
      <c r="D184" s="47"/>
      <c r="E184" s="47"/>
      <c r="F184" s="47"/>
      <c r="G184" s="47"/>
      <c r="H184" s="47"/>
      <c r="I184" s="47"/>
      <c r="J184" s="47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3"/>
    </row>
    <row r="185" spans="2:23" x14ac:dyDescent="0.25">
      <c r="B185" s="64"/>
      <c r="C185" s="47"/>
      <c r="D185" s="47"/>
      <c r="E185" s="47"/>
      <c r="F185" s="47"/>
      <c r="G185" s="47"/>
      <c r="H185" s="47"/>
      <c r="I185" s="47"/>
      <c r="J185" s="47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3"/>
    </row>
    <row r="186" spans="2:23" x14ac:dyDescent="0.25">
      <c r="B186" s="64"/>
      <c r="C186" s="47"/>
      <c r="D186" s="47"/>
      <c r="E186" s="47"/>
      <c r="F186" s="47"/>
      <c r="G186" s="47"/>
      <c r="H186" s="47"/>
      <c r="I186" s="47"/>
      <c r="J186" s="47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3"/>
    </row>
    <row r="187" spans="2:23" x14ac:dyDescent="0.25">
      <c r="B187" s="64"/>
      <c r="C187" s="47"/>
      <c r="D187" s="47"/>
      <c r="E187" s="47"/>
      <c r="F187" s="47"/>
      <c r="G187" s="47"/>
      <c r="H187" s="47"/>
      <c r="I187" s="47"/>
      <c r="J187" s="47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3"/>
    </row>
    <row r="188" spans="2:23" x14ac:dyDescent="0.25">
      <c r="B188" s="64"/>
      <c r="C188" s="47"/>
      <c r="D188" s="47"/>
      <c r="E188" s="47"/>
      <c r="F188" s="47"/>
      <c r="G188" s="47"/>
      <c r="H188" s="47"/>
      <c r="I188" s="47"/>
      <c r="J188" s="47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3"/>
    </row>
    <row r="189" spans="2:23" x14ac:dyDescent="0.25">
      <c r="B189" s="64"/>
      <c r="C189" s="47"/>
      <c r="D189" s="47"/>
      <c r="E189" s="47"/>
      <c r="F189" s="47"/>
      <c r="G189" s="47"/>
      <c r="H189" s="47"/>
      <c r="I189" s="47"/>
      <c r="J189" s="47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3"/>
    </row>
    <row r="190" spans="2:23" x14ac:dyDescent="0.25">
      <c r="B190" s="64"/>
      <c r="C190" s="47"/>
      <c r="D190" s="47"/>
      <c r="E190" s="47"/>
      <c r="F190" s="47"/>
      <c r="G190" s="47"/>
      <c r="H190" s="47"/>
      <c r="I190" s="47"/>
      <c r="J190" s="47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3"/>
    </row>
    <row r="191" spans="2:23" x14ac:dyDescent="0.25">
      <c r="B191" s="64"/>
      <c r="C191" s="47"/>
      <c r="D191" s="47"/>
      <c r="E191" s="47"/>
      <c r="F191" s="47"/>
      <c r="G191" s="47"/>
      <c r="H191" s="47"/>
      <c r="I191" s="47"/>
      <c r="J191" s="47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3"/>
    </row>
    <row r="192" spans="2:23" x14ac:dyDescent="0.25">
      <c r="B192" s="64"/>
      <c r="C192" s="47"/>
      <c r="D192" s="47"/>
      <c r="E192" s="47"/>
      <c r="F192" s="47"/>
      <c r="G192" s="47"/>
      <c r="H192" s="47"/>
      <c r="I192" s="47"/>
      <c r="J192" s="47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3"/>
    </row>
    <row r="193" spans="2:23" x14ac:dyDescent="0.25">
      <c r="B193" s="64"/>
      <c r="C193" s="47"/>
      <c r="D193" s="47"/>
      <c r="E193" s="47"/>
      <c r="F193" s="47"/>
      <c r="G193" s="47"/>
      <c r="H193" s="47"/>
      <c r="I193" s="47"/>
      <c r="J193" s="47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3"/>
    </row>
    <row r="194" spans="2:23" x14ac:dyDescent="0.25">
      <c r="B194" s="64"/>
      <c r="C194" s="47"/>
      <c r="D194" s="47"/>
      <c r="E194" s="47"/>
      <c r="F194" s="47"/>
      <c r="G194" s="47"/>
      <c r="H194" s="47"/>
      <c r="I194" s="47"/>
      <c r="J194" s="47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3"/>
    </row>
    <row r="195" spans="2:23" x14ac:dyDescent="0.25">
      <c r="B195" s="64"/>
      <c r="C195" s="47"/>
      <c r="D195" s="47"/>
      <c r="E195" s="47"/>
      <c r="F195" s="47"/>
      <c r="G195" s="47"/>
      <c r="H195" s="47"/>
      <c r="I195" s="47"/>
      <c r="J195" s="47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3"/>
    </row>
    <row r="196" spans="2:23" x14ac:dyDescent="0.25">
      <c r="B196" s="64"/>
      <c r="C196" s="47"/>
      <c r="D196" s="47"/>
      <c r="E196" s="47"/>
      <c r="F196" s="47"/>
      <c r="G196" s="47"/>
      <c r="H196" s="47"/>
      <c r="I196" s="47"/>
      <c r="J196" s="47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3"/>
    </row>
    <row r="197" spans="2:23" x14ac:dyDescent="0.25">
      <c r="B197" s="64"/>
      <c r="C197" s="47"/>
      <c r="D197" s="47"/>
      <c r="E197" s="47"/>
      <c r="F197" s="47"/>
      <c r="G197" s="47"/>
      <c r="H197" s="47"/>
      <c r="I197" s="47"/>
      <c r="J197" s="47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3"/>
    </row>
    <row r="198" spans="2:23" x14ac:dyDescent="0.25">
      <c r="B198" s="64"/>
      <c r="C198" s="47"/>
      <c r="D198" s="47"/>
      <c r="E198" s="47"/>
      <c r="F198" s="47"/>
      <c r="G198" s="47"/>
      <c r="H198" s="47"/>
      <c r="I198" s="47"/>
      <c r="J198" s="47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3"/>
    </row>
    <row r="199" spans="2:23" x14ac:dyDescent="0.25">
      <c r="B199" s="64"/>
      <c r="C199" s="47"/>
      <c r="D199" s="47"/>
      <c r="E199" s="47"/>
      <c r="F199" s="47"/>
      <c r="G199" s="47"/>
      <c r="H199" s="47"/>
      <c r="I199" s="47"/>
      <c r="J199" s="47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3"/>
    </row>
    <row r="200" spans="2:23" x14ac:dyDescent="0.25">
      <c r="B200" s="64"/>
      <c r="C200" s="47"/>
      <c r="D200" s="47"/>
      <c r="E200" s="47"/>
      <c r="F200" s="47"/>
      <c r="G200" s="47"/>
      <c r="H200" s="47"/>
      <c r="I200" s="47"/>
      <c r="J200" s="47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3"/>
    </row>
    <row r="201" spans="2:23" x14ac:dyDescent="0.25">
      <c r="B201" s="64"/>
      <c r="C201" s="47"/>
      <c r="D201" s="47"/>
      <c r="E201" s="47"/>
      <c r="F201" s="47"/>
      <c r="G201" s="47"/>
      <c r="H201" s="47"/>
      <c r="I201" s="47"/>
      <c r="J201" s="47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3"/>
    </row>
    <row r="202" spans="2:23" x14ac:dyDescent="0.25">
      <c r="B202" s="64"/>
      <c r="C202" s="47"/>
      <c r="D202" s="47"/>
      <c r="E202" s="47"/>
      <c r="F202" s="47"/>
      <c r="G202" s="47"/>
      <c r="H202" s="47"/>
      <c r="I202" s="47"/>
      <c r="J202" s="47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3"/>
    </row>
    <row r="203" spans="2:23" x14ac:dyDescent="0.25">
      <c r="B203" s="64"/>
      <c r="C203" s="47"/>
      <c r="D203" s="47"/>
      <c r="E203" s="47"/>
      <c r="F203" s="47"/>
      <c r="G203" s="47"/>
      <c r="H203" s="47"/>
      <c r="I203" s="47"/>
      <c r="J203" s="47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3"/>
    </row>
    <row r="204" spans="2:23" x14ac:dyDescent="0.25">
      <c r="B204" s="64"/>
      <c r="C204" s="47"/>
      <c r="D204" s="47"/>
      <c r="E204" s="47"/>
      <c r="F204" s="47"/>
      <c r="G204" s="47"/>
      <c r="H204" s="47"/>
      <c r="I204" s="47"/>
      <c r="J204" s="47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3"/>
    </row>
    <row r="205" spans="2:23" ht="15.75" thickBot="1" x14ac:dyDescent="0.3">
      <c r="B205" s="65"/>
      <c r="C205" s="66"/>
      <c r="D205" s="66"/>
      <c r="E205" s="66"/>
      <c r="F205" s="66"/>
      <c r="G205" s="66"/>
      <c r="H205" s="66"/>
      <c r="I205" s="66"/>
      <c r="J205" s="66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8"/>
    </row>
    <row r="206" spans="2:23" ht="15.75" thickBot="1" x14ac:dyDescent="0.3"/>
    <row r="207" spans="2:23" x14ac:dyDescent="0.25">
      <c r="B207" s="69"/>
      <c r="C207" s="70"/>
      <c r="D207" s="70"/>
      <c r="E207" s="70"/>
      <c r="F207" s="70"/>
      <c r="G207" s="70"/>
      <c r="H207" s="70"/>
      <c r="I207" s="70"/>
      <c r="J207" s="70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60"/>
    </row>
    <row r="208" spans="2:23" x14ac:dyDescent="0.25">
      <c r="B208" s="64"/>
      <c r="C208" s="47"/>
      <c r="D208" s="47"/>
      <c r="E208" s="47"/>
      <c r="F208" s="47"/>
      <c r="G208" s="47"/>
      <c r="H208" s="47"/>
      <c r="I208" s="47"/>
      <c r="J208" s="47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3"/>
    </row>
    <row r="209" spans="2:23" x14ac:dyDescent="0.25">
      <c r="B209" s="64"/>
      <c r="C209" s="47"/>
      <c r="D209" s="47"/>
      <c r="E209" s="47"/>
      <c r="F209" s="47"/>
      <c r="G209" s="47"/>
      <c r="H209" s="47"/>
      <c r="I209" s="47"/>
      <c r="J209" s="47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3"/>
    </row>
    <row r="210" spans="2:23" x14ac:dyDescent="0.25">
      <c r="B210" s="64"/>
      <c r="C210" s="47"/>
      <c r="D210" s="47"/>
      <c r="E210" s="47"/>
      <c r="F210" s="47"/>
      <c r="G210" s="47"/>
      <c r="H210" s="47"/>
      <c r="I210" s="47"/>
      <c r="J210" s="47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3"/>
    </row>
    <row r="211" spans="2:23" x14ac:dyDescent="0.25">
      <c r="B211" s="64"/>
      <c r="C211" s="47"/>
      <c r="D211" s="47"/>
      <c r="E211" s="47"/>
      <c r="F211" s="47"/>
      <c r="G211" s="47"/>
      <c r="H211" s="47"/>
      <c r="I211" s="47"/>
      <c r="J211" s="47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3"/>
    </row>
    <row r="212" spans="2:23" x14ac:dyDescent="0.25">
      <c r="B212" s="64"/>
      <c r="C212" s="47"/>
      <c r="D212" s="47"/>
      <c r="E212" s="47"/>
      <c r="F212" s="47"/>
      <c r="G212" s="47"/>
      <c r="H212" s="47"/>
      <c r="I212" s="47"/>
      <c r="J212" s="47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3"/>
    </row>
    <row r="213" spans="2:23" x14ac:dyDescent="0.25">
      <c r="B213" s="64"/>
      <c r="C213" s="47"/>
      <c r="D213" s="47"/>
      <c r="E213" s="47"/>
      <c r="F213" s="47"/>
      <c r="G213" s="47"/>
      <c r="H213" s="47"/>
      <c r="I213" s="47"/>
      <c r="J213" s="47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3"/>
    </row>
    <row r="214" spans="2:23" x14ac:dyDescent="0.25">
      <c r="B214" s="64"/>
      <c r="C214" s="47"/>
      <c r="D214" s="47"/>
      <c r="E214" s="47"/>
      <c r="F214" s="47"/>
      <c r="G214" s="47"/>
      <c r="H214" s="47"/>
      <c r="I214" s="47"/>
      <c r="J214" s="47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3"/>
    </row>
    <row r="215" spans="2:23" x14ac:dyDescent="0.25">
      <c r="B215" s="64"/>
      <c r="C215" s="47"/>
      <c r="D215" s="47"/>
      <c r="E215" s="47"/>
      <c r="F215" s="47"/>
      <c r="G215" s="47"/>
      <c r="H215" s="47"/>
      <c r="I215" s="47"/>
      <c r="J215" s="47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3"/>
    </row>
    <row r="216" spans="2:23" x14ac:dyDescent="0.25">
      <c r="B216" s="64"/>
      <c r="C216" s="47"/>
      <c r="D216" s="47"/>
      <c r="E216" s="47"/>
      <c r="F216" s="47"/>
      <c r="G216" s="47"/>
      <c r="H216" s="47"/>
      <c r="I216" s="47"/>
      <c r="J216" s="47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3"/>
    </row>
    <row r="217" spans="2:23" x14ac:dyDescent="0.25">
      <c r="B217" s="64"/>
      <c r="C217" s="47"/>
      <c r="D217" s="47"/>
      <c r="E217" s="47"/>
      <c r="F217" s="47"/>
      <c r="G217" s="47"/>
      <c r="H217" s="47"/>
      <c r="I217" s="47"/>
      <c r="J217" s="47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3"/>
    </row>
    <row r="218" spans="2:23" x14ac:dyDescent="0.25">
      <c r="B218" s="64"/>
      <c r="C218" s="47"/>
      <c r="D218" s="47"/>
      <c r="E218" s="47"/>
      <c r="F218" s="47"/>
      <c r="G218" s="47"/>
      <c r="H218" s="47"/>
      <c r="I218" s="47"/>
      <c r="J218" s="47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3"/>
    </row>
    <row r="219" spans="2:23" x14ac:dyDescent="0.25">
      <c r="B219" s="64"/>
      <c r="C219" s="47"/>
      <c r="D219" s="47"/>
      <c r="E219" s="47"/>
      <c r="F219" s="47"/>
      <c r="G219" s="47"/>
      <c r="H219" s="47"/>
      <c r="I219" s="47"/>
      <c r="J219" s="47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3"/>
    </row>
    <row r="220" spans="2:23" x14ac:dyDescent="0.25">
      <c r="B220" s="64"/>
      <c r="C220" s="47"/>
      <c r="D220" s="47"/>
      <c r="E220" s="47"/>
      <c r="F220" s="47"/>
      <c r="G220" s="47"/>
      <c r="H220" s="47"/>
      <c r="I220" s="47"/>
      <c r="J220" s="47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3"/>
    </row>
    <row r="221" spans="2:23" x14ac:dyDescent="0.25">
      <c r="B221" s="64"/>
      <c r="C221" s="47"/>
      <c r="D221" s="47"/>
      <c r="E221" s="47"/>
      <c r="F221" s="47"/>
      <c r="G221" s="47"/>
      <c r="H221" s="47"/>
      <c r="I221" s="47"/>
      <c r="J221" s="47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3"/>
    </row>
    <row r="222" spans="2:23" x14ac:dyDescent="0.25">
      <c r="B222" s="64"/>
      <c r="C222" s="47"/>
      <c r="D222" s="47"/>
      <c r="E222" s="47"/>
      <c r="F222" s="47"/>
      <c r="G222" s="47"/>
      <c r="H222" s="47"/>
      <c r="I222" s="47"/>
      <c r="J222" s="47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3"/>
    </row>
    <row r="223" spans="2:23" x14ac:dyDescent="0.25">
      <c r="B223" s="64"/>
      <c r="C223" s="47"/>
      <c r="D223" s="47"/>
      <c r="E223" s="47"/>
      <c r="F223" s="47"/>
      <c r="G223" s="47"/>
      <c r="H223" s="47"/>
      <c r="I223" s="47"/>
      <c r="J223" s="47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3"/>
    </row>
    <row r="224" spans="2:23" x14ac:dyDescent="0.25">
      <c r="B224" s="64"/>
      <c r="C224" s="47"/>
      <c r="D224" s="47"/>
      <c r="E224" s="47"/>
      <c r="F224" s="47"/>
      <c r="G224" s="47"/>
      <c r="H224" s="47"/>
      <c r="I224" s="47"/>
      <c r="J224" s="47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3"/>
    </row>
    <row r="225" spans="2:23" x14ac:dyDescent="0.25">
      <c r="B225" s="64"/>
      <c r="C225" s="47"/>
      <c r="D225" s="47"/>
      <c r="E225" s="47"/>
      <c r="F225" s="47"/>
      <c r="G225" s="47"/>
      <c r="H225" s="47"/>
      <c r="I225" s="47"/>
      <c r="J225" s="47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3"/>
    </row>
    <row r="226" spans="2:23" x14ac:dyDescent="0.25">
      <c r="B226" s="64"/>
      <c r="C226" s="47"/>
      <c r="D226" s="47"/>
      <c r="E226" s="47"/>
      <c r="F226" s="47"/>
      <c r="G226" s="47"/>
      <c r="H226" s="47"/>
      <c r="I226" s="47"/>
      <c r="J226" s="47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3"/>
    </row>
    <row r="227" spans="2:23" x14ac:dyDescent="0.25">
      <c r="B227" s="64"/>
      <c r="C227" s="47"/>
      <c r="D227" s="47"/>
      <c r="E227" s="47"/>
      <c r="F227" s="47"/>
      <c r="G227" s="47"/>
      <c r="H227" s="47"/>
      <c r="I227" s="47"/>
      <c r="J227" s="47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3"/>
    </row>
    <row r="228" spans="2:23" x14ac:dyDescent="0.25">
      <c r="B228" s="64"/>
      <c r="C228" s="47"/>
      <c r="D228" s="47"/>
      <c r="E228" s="47"/>
      <c r="F228" s="47"/>
      <c r="G228" s="47"/>
      <c r="H228" s="47"/>
      <c r="I228" s="47"/>
      <c r="J228" s="47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3"/>
    </row>
    <row r="229" spans="2:23" x14ac:dyDescent="0.25">
      <c r="B229" s="64"/>
      <c r="C229" s="47"/>
      <c r="D229" s="47"/>
      <c r="E229" s="47"/>
      <c r="F229" s="47"/>
      <c r="G229" s="47"/>
      <c r="H229" s="47"/>
      <c r="I229" s="47"/>
      <c r="J229" s="47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3"/>
    </row>
    <row r="230" spans="2:23" x14ac:dyDescent="0.25">
      <c r="B230" s="64"/>
      <c r="C230" s="47"/>
      <c r="D230" s="47"/>
      <c r="E230" s="47"/>
      <c r="F230" s="47"/>
      <c r="G230" s="47"/>
      <c r="H230" s="47"/>
      <c r="I230" s="47"/>
      <c r="J230" s="47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3"/>
    </row>
    <row r="231" spans="2:23" x14ac:dyDescent="0.25">
      <c r="B231" s="64"/>
      <c r="C231" s="47"/>
      <c r="D231" s="47"/>
      <c r="E231" s="47"/>
      <c r="F231" s="47"/>
      <c r="G231" s="47"/>
      <c r="H231" s="47"/>
      <c r="I231" s="47"/>
      <c r="J231" s="47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3"/>
    </row>
    <row r="232" spans="2:23" x14ac:dyDescent="0.25">
      <c r="B232" s="64"/>
      <c r="C232" s="47"/>
      <c r="D232" s="47"/>
      <c r="E232" s="47"/>
      <c r="F232" s="47"/>
      <c r="G232" s="47"/>
      <c r="H232" s="47"/>
      <c r="I232" s="47"/>
      <c r="J232" s="47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3"/>
    </row>
    <row r="233" spans="2:23" x14ac:dyDescent="0.25">
      <c r="B233" s="64"/>
      <c r="C233" s="47"/>
      <c r="D233" s="47"/>
      <c r="E233" s="47"/>
      <c r="F233" s="47"/>
      <c r="G233" s="47"/>
      <c r="H233" s="47"/>
      <c r="I233" s="47"/>
      <c r="J233" s="47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3"/>
    </row>
    <row r="234" spans="2:23" x14ac:dyDescent="0.25">
      <c r="B234" s="64"/>
      <c r="C234" s="47"/>
      <c r="D234" s="47"/>
      <c r="E234" s="47"/>
      <c r="F234" s="47"/>
      <c r="G234" s="47"/>
      <c r="H234" s="47"/>
      <c r="I234" s="47"/>
      <c r="J234" s="47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3"/>
    </row>
    <row r="235" spans="2:23" x14ac:dyDescent="0.25">
      <c r="B235" s="64"/>
      <c r="C235" s="47"/>
      <c r="D235" s="47"/>
      <c r="E235" s="47"/>
      <c r="F235" s="47"/>
      <c r="G235" s="47"/>
      <c r="H235" s="47"/>
      <c r="I235" s="47"/>
      <c r="J235" s="47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3"/>
    </row>
    <row r="236" spans="2:23" x14ac:dyDescent="0.25">
      <c r="B236" s="64"/>
      <c r="C236" s="47"/>
      <c r="D236" s="47"/>
      <c r="E236" s="47"/>
      <c r="F236" s="47"/>
      <c r="G236" s="47"/>
      <c r="H236" s="47"/>
      <c r="I236" s="47"/>
      <c r="J236" s="47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3"/>
    </row>
    <row r="237" spans="2:23" ht="15.75" thickBot="1" x14ac:dyDescent="0.3">
      <c r="B237" s="65"/>
      <c r="C237" s="66"/>
      <c r="D237" s="66"/>
      <c r="E237" s="66"/>
      <c r="F237" s="66"/>
      <c r="G237" s="66"/>
      <c r="H237" s="66"/>
      <c r="I237" s="66"/>
      <c r="J237" s="66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8"/>
    </row>
    <row r="238" spans="2:23" ht="15.75" thickBot="1" x14ac:dyDescent="0.3"/>
    <row r="239" spans="2:23" x14ac:dyDescent="0.25">
      <c r="B239" s="69"/>
      <c r="C239" s="70"/>
      <c r="D239" s="70"/>
      <c r="E239" s="70"/>
      <c r="F239" s="70"/>
      <c r="G239" s="70"/>
      <c r="H239" s="70"/>
      <c r="I239" s="70"/>
      <c r="J239" s="70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60"/>
    </row>
    <row r="240" spans="2:23" x14ac:dyDescent="0.25">
      <c r="B240" s="64"/>
      <c r="C240" s="47"/>
      <c r="D240" s="47"/>
      <c r="E240" s="47"/>
      <c r="F240" s="47"/>
      <c r="G240" s="47"/>
      <c r="H240" s="47"/>
      <c r="I240" s="47"/>
      <c r="J240" s="47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3"/>
    </row>
    <row r="241" spans="2:23" x14ac:dyDescent="0.25">
      <c r="B241" s="64"/>
      <c r="C241" s="47"/>
      <c r="D241" s="47"/>
      <c r="E241" s="47"/>
      <c r="F241" s="47"/>
      <c r="G241" s="47"/>
      <c r="H241" s="47"/>
      <c r="I241" s="47"/>
      <c r="J241" s="47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3"/>
    </row>
    <row r="242" spans="2:23" x14ac:dyDescent="0.25">
      <c r="B242" s="64"/>
      <c r="C242" s="47"/>
      <c r="D242" s="47"/>
      <c r="E242" s="47"/>
      <c r="F242" s="47"/>
      <c r="G242" s="47"/>
      <c r="H242" s="47"/>
      <c r="I242" s="47"/>
      <c r="J242" s="47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3"/>
    </row>
    <row r="243" spans="2:23" x14ac:dyDescent="0.25">
      <c r="B243" s="64"/>
      <c r="C243" s="47"/>
      <c r="D243" s="47"/>
      <c r="E243" s="47"/>
      <c r="F243" s="47"/>
      <c r="G243" s="47"/>
      <c r="H243" s="47"/>
      <c r="I243" s="47"/>
      <c r="J243" s="47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3"/>
    </row>
    <row r="244" spans="2:23" x14ac:dyDescent="0.25">
      <c r="B244" s="64"/>
      <c r="C244" s="47"/>
      <c r="D244" s="47"/>
      <c r="E244" s="47"/>
      <c r="F244" s="47"/>
      <c r="G244" s="47"/>
      <c r="H244" s="47"/>
      <c r="I244" s="47"/>
      <c r="J244" s="47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3"/>
    </row>
    <row r="245" spans="2:23" x14ac:dyDescent="0.25">
      <c r="B245" s="64"/>
      <c r="C245" s="47"/>
      <c r="D245" s="47"/>
      <c r="E245" s="47"/>
      <c r="F245" s="47"/>
      <c r="G245" s="47"/>
      <c r="H245" s="47"/>
      <c r="I245" s="47"/>
      <c r="J245" s="47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3"/>
    </row>
    <row r="246" spans="2:23" x14ac:dyDescent="0.25">
      <c r="B246" s="64"/>
      <c r="C246" s="47"/>
      <c r="D246" s="47"/>
      <c r="E246" s="47"/>
      <c r="F246" s="47"/>
      <c r="G246" s="47"/>
      <c r="H246" s="47"/>
      <c r="I246" s="47"/>
      <c r="J246" s="47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3"/>
    </row>
    <row r="247" spans="2:23" x14ac:dyDescent="0.25">
      <c r="B247" s="64"/>
      <c r="C247" s="47"/>
      <c r="D247" s="47"/>
      <c r="E247" s="47"/>
      <c r="F247" s="47"/>
      <c r="G247" s="47"/>
      <c r="H247" s="47"/>
      <c r="I247" s="47"/>
      <c r="J247" s="47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3"/>
    </row>
    <row r="248" spans="2:23" x14ac:dyDescent="0.25">
      <c r="B248" s="64"/>
      <c r="C248" s="47"/>
      <c r="D248" s="47"/>
      <c r="E248" s="47"/>
      <c r="F248" s="47"/>
      <c r="G248" s="47"/>
      <c r="H248" s="47"/>
      <c r="I248" s="47"/>
      <c r="J248" s="47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3"/>
    </row>
    <row r="249" spans="2:23" x14ac:dyDescent="0.25">
      <c r="B249" s="64"/>
      <c r="C249" s="47"/>
      <c r="D249" s="47"/>
      <c r="E249" s="47"/>
      <c r="F249" s="47"/>
      <c r="G249" s="47"/>
      <c r="H249" s="47"/>
      <c r="I249" s="47"/>
      <c r="J249" s="47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3"/>
    </row>
    <row r="250" spans="2:23" x14ac:dyDescent="0.25">
      <c r="B250" s="64"/>
      <c r="C250" s="47"/>
      <c r="D250" s="47"/>
      <c r="E250" s="47"/>
      <c r="F250" s="47"/>
      <c r="G250" s="47"/>
      <c r="H250" s="47"/>
      <c r="I250" s="47"/>
      <c r="J250" s="47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3"/>
    </row>
    <row r="251" spans="2:23" x14ac:dyDescent="0.25">
      <c r="B251" s="64"/>
      <c r="C251" s="47"/>
      <c r="D251" s="47"/>
      <c r="E251" s="47"/>
      <c r="F251" s="47"/>
      <c r="G251" s="47"/>
      <c r="H251" s="47"/>
      <c r="I251" s="47"/>
      <c r="J251" s="47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3"/>
    </row>
    <row r="252" spans="2:23" x14ac:dyDescent="0.25">
      <c r="B252" s="64"/>
      <c r="C252" s="47"/>
      <c r="D252" s="47"/>
      <c r="E252" s="47"/>
      <c r="F252" s="47"/>
      <c r="G252" s="47"/>
      <c r="H252" s="47"/>
      <c r="I252" s="47"/>
      <c r="J252" s="47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3"/>
    </row>
    <row r="253" spans="2:23" x14ac:dyDescent="0.25">
      <c r="B253" s="64"/>
      <c r="C253" s="47"/>
      <c r="D253" s="47"/>
      <c r="E253" s="47"/>
      <c r="F253" s="47"/>
      <c r="G253" s="47"/>
      <c r="H253" s="47"/>
      <c r="I253" s="47"/>
      <c r="J253" s="47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3"/>
    </row>
    <row r="254" spans="2:23" x14ac:dyDescent="0.25">
      <c r="B254" s="64"/>
      <c r="C254" s="47"/>
      <c r="D254" s="47"/>
      <c r="E254" s="47"/>
      <c r="F254" s="47"/>
      <c r="G254" s="47"/>
      <c r="H254" s="47"/>
      <c r="I254" s="47"/>
      <c r="J254" s="47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3"/>
    </row>
    <row r="255" spans="2:23" x14ac:dyDescent="0.25">
      <c r="B255" s="64"/>
      <c r="C255" s="47"/>
      <c r="D255" s="47"/>
      <c r="E255" s="47"/>
      <c r="F255" s="47"/>
      <c r="G255" s="47"/>
      <c r="H255" s="47"/>
      <c r="I255" s="47"/>
      <c r="J255" s="47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3"/>
    </row>
    <row r="256" spans="2:23" x14ac:dyDescent="0.25">
      <c r="B256" s="64"/>
      <c r="C256" s="47"/>
      <c r="D256" s="47"/>
      <c r="E256" s="47"/>
      <c r="F256" s="47"/>
      <c r="G256" s="47"/>
      <c r="H256" s="47"/>
      <c r="I256" s="47"/>
      <c r="J256" s="47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3"/>
    </row>
    <row r="257" spans="2:23" x14ac:dyDescent="0.25">
      <c r="B257" s="64"/>
      <c r="C257" s="47"/>
      <c r="D257" s="47"/>
      <c r="E257" s="47"/>
      <c r="F257" s="47"/>
      <c r="G257" s="47"/>
      <c r="H257" s="47"/>
      <c r="I257" s="47"/>
      <c r="J257" s="47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3"/>
    </row>
    <row r="258" spans="2:23" x14ac:dyDescent="0.25">
      <c r="B258" s="64"/>
      <c r="C258" s="47"/>
      <c r="D258" s="47"/>
      <c r="E258" s="47"/>
      <c r="F258" s="47"/>
      <c r="G258" s="47"/>
      <c r="H258" s="47"/>
      <c r="I258" s="47"/>
      <c r="J258" s="47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3"/>
    </row>
    <row r="259" spans="2:23" x14ac:dyDescent="0.25">
      <c r="B259" s="64"/>
      <c r="C259" s="47"/>
      <c r="D259" s="47"/>
      <c r="E259" s="47"/>
      <c r="F259" s="47"/>
      <c r="G259" s="47"/>
      <c r="H259" s="47"/>
      <c r="I259" s="47"/>
      <c r="J259" s="47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3"/>
    </row>
    <row r="260" spans="2:23" x14ac:dyDescent="0.25">
      <c r="B260" s="64"/>
      <c r="C260" s="47"/>
      <c r="D260" s="47"/>
      <c r="E260" s="47"/>
      <c r="F260" s="47"/>
      <c r="G260" s="47"/>
      <c r="H260" s="47"/>
      <c r="I260" s="47"/>
      <c r="J260" s="47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3"/>
    </row>
    <row r="261" spans="2:23" x14ac:dyDescent="0.25">
      <c r="B261" s="64"/>
      <c r="C261" s="47"/>
      <c r="D261" s="47"/>
      <c r="E261" s="47"/>
      <c r="F261" s="47"/>
      <c r="G261" s="47"/>
      <c r="H261" s="47"/>
      <c r="I261" s="47"/>
      <c r="J261" s="47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3"/>
    </row>
    <row r="262" spans="2:23" x14ac:dyDescent="0.25">
      <c r="B262" s="64"/>
      <c r="C262" s="47"/>
      <c r="D262" s="47"/>
      <c r="E262" s="47"/>
      <c r="F262" s="47"/>
      <c r="G262" s="47"/>
      <c r="H262" s="47"/>
      <c r="I262" s="47"/>
      <c r="J262" s="47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3"/>
    </row>
    <row r="263" spans="2:23" x14ac:dyDescent="0.25">
      <c r="B263" s="64"/>
      <c r="C263" s="47"/>
      <c r="D263" s="47"/>
      <c r="E263" s="47"/>
      <c r="F263" s="47"/>
      <c r="G263" s="47"/>
      <c r="H263" s="47"/>
      <c r="I263" s="47"/>
      <c r="J263" s="47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3"/>
    </row>
    <row r="264" spans="2:23" x14ac:dyDescent="0.25">
      <c r="B264" s="64"/>
      <c r="C264" s="47"/>
      <c r="D264" s="47"/>
      <c r="E264" s="47"/>
      <c r="F264" s="47"/>
      <c r="G264" s="47"/>
      <c r="H264" s="47"/>
      <c r="I264" s="47"/>
      <c r="J264" s="47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3"/>
    </row>
    <row r="265" spans="2:23" x14ac:dyDescent="0.25">
      <c r="B265" s="64"/>
      <c r="C265" s="47"/>
      <c r="D265" s="47"/>
      <c r="E265" s="47"/>
      <c r="F265" s="47"/>
      <c r="G265" s="47"/>
      <c r="H265" s="47"/>
      <c r="I265" s="47"/>
      <c r="J265" s="47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3"/>
    </row>
    <row r="266" spans="2:23" x14ac:dyDescent="0.25">
      <c r="B266" s="64"/>
      <c r="C266" s="47"/>
      <c r="D266" s="47"/>
      <c r="E266" s="47"/>
      <c r="F266" s="47"/>
      <c r="G266" s="47"/>
      <c r="H266" s="47"/>
      <c r="I266" s="47"/>
      <c r="J266" s="47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3"/>
    </row>
    <row r="267" spans="2:23" x14ac:dyDescent="0.25">
      <c r="B267" s="64"/>
      <c r="C267" s="47"/>
      <c r="D267" s="47"/>
      <c r="E267" s="47"/>
      <c r="F267" s="47"/>
      <c r="G267" s="47"/>
      <c r="H267" s="47"/>
      <c r="I267" s="47"/>
      <c r="J267" s="47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3"/>
    </row>
    <row r="268" spans="2:23" x14ac:dyDescent="0.25">
      <c r="B268" s="64"/>
      <c r="C268" s="47"/>
      <c r="D268" s="47"/>
      <c r="E268" s="47"/>
      <c r="F268" s="47"/>
      <c r="G268" s="47"/>
      <c r="H268" s="47"/>
      <c r="I268" s="47"/>
      <c r="J268" s="47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3"/>
    </row>
    <row r="269" spans="2:23" ht="15.75" thickBot="1" x14ac:dyDescent="0.3">
      <c r="B269" s="65"/>
      <c r="C269" s="66"/>
      <c r="D269" s="66"/>
      <c r="E269" s="66"/>
      <c r="F269" s="66"/>
      <c r="G269" s="66"/>
      <c r="H269" s="66"/>
      <c r="I269" s="66"/>
      <c r="J269" s="66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8"/>
    </row>
  </sheetData>
  <mergeCells count="18">
    <mergeCell ref="G2:G3"/>
    <mergeCell ref="G12:G13"/>
    <mergeCell ref="H2:H3"/>
    <mergeCell ref="H12:H13"/>
    <mergeCell ref="J2:J3"/>
    <mergeCell ref="J12:J13"/>
    <mergeCell ref="I2:I3"/>
    <mergeCell ref="I12:I13"/>
    <mergeCell ref="B12:B13"/>
    <mergeCell ref="B2:B3"/>
    <mergeCell ref="C2:C3"/>
    <mergeCell ref="C12:C13"/>
    <mergeCell ref="F2:F3"/>
    <mergeCell ref="F12:F13"/>
    <mergeCell ref="E2:E3"/>
    <mergeCell ref="E12:E13"/>
    <mergeCell ref="D2:D3"/>
    <mergeCell ref="D12:D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9"/>
  <sheetViews>
    <sheetView showGridLines="0" workbookViewId="0">
      <selection activeCell="Y173" sqref="Y173"/>
    </sheetView>
  </sheetViews>
  <sheetFormatPr defaultRowHeight="15" x14ac:dyDescent="0.25"/>
  <cols>
    <col min="1" max="1" width="2.42578125" customWidth="1"/>
    <col min="2" max="2" width="14.7109375" style="15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4.7109375" style="1" customWidth="1"/>
    <col min="8" max="8" width="12.7109375" style="1" customWidth="1"/>
    <col min="9" max="10" width="14.7109375" style="1" customWidth="1"/>
    <col min="11" max="11" width="2.42578125" customWidth="1"/>
  </cols>
  <sheetData>
    <row r="1" spans="1:17" ht="15.75" thickBot="1" x14ac:dyDescent="0.3">
      <c r="I1" s="56"/>
    </row>
    <row r="2" spans="1:17" ht="15" customHeight="1" x14ac:dyDescent="0.25">
      <c r="B2" s="144" t="s">
        <v>84</v>
      </c>
      <c r="C2" s="146" t="s">
        <v>72</v>
      </c>
      <c r="D2" s="146" t="s">
        <v>79</v>
      </c>
      <c r="E2" s="146" t="s">
        <v>73</v>
      </c>
      <c r="F2" s="146" t="s">
        <v>74</v>
      </c>
      <c r="G2" s="144" t="s">
        <v>76</v>
      </c>
      <c r="H2" s="185"/>
      <c r="I2" s="185"/>
      <c r="J2" s="185"/>
    </row>
    <row r="3" spans="1:17" ht="15.75" customHeight="1" thickBot="1" x14ac:dyDescent="0.3">
      <c r="B3" s="145"/>
      <c r="C3" s="147"/>
      <c r="D3" s="147"/>
      <c r="E3" s="147"/>
      <c r="F3" s="147"/>
      <c r="G3" s="145"/>
      <c r="H3" s="185"/>
      <c r="I3" s="185"/>
      <c r="J3" s="185"/>
    </row>
    <row r="4" spans="1:17" ht="15.75" customHeight="1" x14ac:dyDescent="0.25">
      <c r="A4" s="50"/>
      <c r="B4" s="39" t="s">
        <v>43</v>
      </c>
      <c r="C4" s="44">
        <f>SUM(SUMIF('Raw Data'!$C$5:$C$500,$B4, 'Raw Data'!$I$5:$KI$500))</f>
        <v>2381420.9985388173</v>
      </c>
      <c r="D4" s="71">
        <f>SUM(COUNTIF('Raw Data'!$C$5:$C$500,$B4))</f>
        <v>182</v>
      </c>
      <c r="E4" s="44">
        <f>SUM(SUMIF('Raw Data'!$C$5:$C$500,$B4, 'Raw Data'!$I$5:$I$500))/SUM(COUNTIF('Raw Data'!$C$5:$C$500,$B4))</f>
        <v>13084.730761202292</v>
      </c>
      <c r="F4" s="53">
        <f>SUM(SUMIF('Raw Data'!$C$5:$C$500,$B4, 'Raw Data'!$K$5:$K$500))/SUM(COUNTIF('Raw Data'!$C$5:$C$500,$B4))</f>
        <v>0.48471413478954606</v>
      </c>
      <c r="G4" s="44">
        <f>SUM(SUMIF('Raw Data'!$C$5:$C$500,$B4, 'Raw Data'!$N$5:$N$500))/SUM(COUNTIF('Raw Data'!$C$5:$C$500,$B4))</f>
        <v>219.39538757592362</v>
      </c>
      <c r="H4" s="73"/>
      <c r="I4" s="72"/>
      <c r="J4" s="72"/>
    </row>
    <row r="5" spans="1:17" ht="15.75" customHeight="1" x14ac:dyDescent="0.25">
      <c r="A5" s="50"/>
      <c r="B5" s="34" t="s">
        <v>123</v>
      </c>
      <c r="C5" s="44">
        <f>SUM(SUMIF('Raw Data'!$C$5:$C$500,$B5, 'Raw Data'!$I$5:$KI$500))</f>
        <v>10832.673746336743</v>
      </c>
      <c r="D5" s="71">
        <f>SUM(COUNTIF('Raw Data'!$C$5:$C$500,$B5))</f>
        <v>1</v>
      </c>
      <c r="E5" s="44">
        <f>SUM(SUMIF('Raw Data'!$C$5:$C$500,$B5, 'Raw Data'!$I$5:$I$500))/SUM(COUNTIF('Raw Data'!$C$5:$C$500,$B5))</f>
        <v>10832.673746336743</v>
      </c>
      <c r="F5" s="53">
        <f>SUM(SUMIF('Raw Data'!$C$5:$C$500,$B5, 'Raw Data'!$K$5:$K$500))/SUM(COUNTIF('Raw Data'!$C$5:$C$500,$B5))</f>
        <v>0.57721425870978782</v>
      </c>
      <c r="G5" s="44">
        <f>SUM(SUMIF('Raw Data'!$C$5:$C$500,$B5, 'Raw Data'!$N$5:$N$500))/SUM(COUNTIF('Raw Data'!$C$5:$C$500,$B5))</f>
        <v>1607.3737463367434</v>
      </c>
      <c r="H5" s="73"/>
      <c r="I5" s="72"/>
      <c r="J5" s="72"/>
    </row>
    <row r="6" spans="1:17" ht="15.75" customHeight="1" x14ac:dyDescent="0.25">
      <c r="A6" s="50"/>
      <c r="B6" s="34" t="s">
        <v>80</v>
      </c>
      <c r="C6" s="44">
        <f>SUM(SUMIF('Raw Data'!$C$5:$C$500,$B6, 'Raw Data'!$I$5:$KI$500))</f>
        <v>6812.1</v>
      </c>
      <c r="D6" s="71">
        <f>SUM(COUNTIF('Raw Data'!$C$5:$C$500,$B6))</f>
        <v>1</v>
      </c>
      <c r="E6" s="44">
        <f>SUM(SUMIF('Raw Data'!$C$5:$C$500,$B6, 'Raw Data'!$I$5:$I$500))/SUM(COUNTIF('Raw Data'!$C$5:$C$500,$B6))</f>
        <v>6812.1</v>
      </c>
      <c r="F6" s="53">
        <f>SUM(SUMIF('Raw Data'!$C$5:$C$500,$B6, 'Raw Data'!$K$5:$K$500))/SUM(COUNTIF('Raw Data'!$C$5:$C$500,$B6))</f>
        <v>0.55938990913227937</v>
      </c>
      <c r="G6" s="44">
        <f>SUM(SUMIF('Raw Data'!$C$5:$C$500,$B6, 'Raw Data'!$N$5:$N$500))/SUM(COUNTIF('Raw Data'!$C$5:$C$500,$B6))</f>
        <v>288.10000000000002</v>
      </c>
      <c r="H6" s="73"/>
      <c r="I6" s="72"/>
      <c r="J6" s="72"/>
    </row>
    <row r="7" spans="1:17" ht="15.75" customHeight="1" x14ac:dyDescent="0.25">
      <c r="A7" s="50"/>
      <c r="B7" s="34" t="s">
        <v>386</v>
      </c>
      <c r="C7" s="44">
        <f>SUM(SUMIF('Raw Data'!$C$5:$C$500,$B7, 'Raw Data'!$I$5:$KI$500))</f>
        <v>83105.349999999991</v>
      </c>
      <c r="D7" s="71">
        <f>SUM(COUNTIF('Raw Data'!$C$5:$C$500,$B7))</f>
        <v>4</v>
      </c>
      <c r="E7" s="44">
        <f>SUM(SUMIF('Raw Data'!$C$5:$C$500,$B7, 'Raw Data'!$I$5:$I$500))/SUM(COUNTIF('Raw Data'!$C$5:$C$500,$B7))</f>
        <v>20776.337499999998</v>
      </c>
      <c r="F7" s="53">
        <f>SUM(SUMIF('Raw Data'!$C$5:$C$500,$B7, 'Raw Data'!$K$5:$K$500))/SUM(COUNTIF('Raw Data'!$C$5:$C$500,$B7))</f>
        <v>0.50751555874920584</v>
      </c>
      <c r="G7" s="44">
        <f>SUM(SUMIF('Raw Data'!$C$5:$C$500,$B7, 'Raw Data'!$N$5:$N$500))/SUM(COUNTIF('Raw Data'!$C$5:$C$500,$B7))</f>
        <v>611.14</v>
      </c>
      <c r="H7" s="73"/>
      <c r="I7" s="72"/>
      <c r="J7" s="72"/>
    </row>
    <row r="8" spans="1:17" ht="15.75" customHeight="1" x14ac:dyDescent="0.25">
      <c r="A8" s="50"/>
      <c r="B8" s="33" t="s">
        <v>218</v>
      </c>
      <c r="C8" s="44">
        <f>SUM(SUMIF('Raw Data'!$C$5:$C$500,$B8, 'Raw Data'!$I$5:$KI$500))</f>
        <v>9490.01</v>
      </c>
      <c r="D8" s="71">
        <f>SUM(COUNTIF('Raw Data'!$C$5:$C$500,$B8))</f>
        <v>1</v>
      </c>
      <c r="E8" s="44">
        <f>SUM(SUMIF('Raw Data'!$C$5:$C$500,$B8, 'Raw Data'!$I$5:$I$500))/SUM(COUNTIF('Raw Data'!$C$5:$C$500,$B8))</f>
        <v>9490.01</v>
      </c>
      <c r="F8" s="53">
        <f>SUM(SUMIF('Raw Data'!$C$5:$C$500,$B8, 'Raw Data'!$K$5:$K$500))/SUM(COUNTIF('Raw Data'!$C$5:$C$500,$B8))</f>
        <v>0.52562958310897467</v>
      </c>
      <c r="G8" s="44">
        <f>SUM(SUMIF('Raw Data'!$C$5:$C$500,$B8, 'Raw Data'!$N$5:$N$500))/SUM(COUNTIF('Raw Data'!$C$5:$C$500,$B8))</f>
        <v>-291.08999999999997</v>
      </c>
      <c r="H8" s="73"/>
      <c r="I8" s="72"/>
      <c r="J8" s="72"/>
    </row>
    <row r="9" spans="1:17" ht="15.75" customHeight="1" x14ac:dyDescent="0.25">
      <c r="A9" s="50"/>
      <c r="B9" s="33" t="s">
        <v>294</v>
      </c>
      <c r="C9" s="44">
        <f>SUM(SUMIF('Raw Data'!$C$5:$C$500,$B9, 'Raw Data'!$I$5:$KI$500))</f>
        <v>12284.55</v>
      </c>
      <c r="D9" s="71">
        <f>SUM(COUNTIF('Raw Data'!$C$5:$C$500,$B9))</f>
        <v>1</v>
      </c>
      <c r="E9" s="44">
        <f>SUM(SUMIF('Raw Data'!$C$5:$C$500,$B9, 'Raw Data'!$I$5:$I$500))/SUM(COUNTIF('Raw Data'!$C$5:$C$500,$B9))</f>
        <v>12284.55</v>
      </c>
      <c r="F9" s="53">
        <f>SUM(SUMIF('Raw Data'!$C$5:$C$500,$B9, 'Raw Data'!$K$5:$K$500))/SUM(COUNTIF('Raw Data'!$C$5:$C$500,$B9))</f>
        <v>0.31946876360957455</v>
      </c>
      <c r="G9" s="44">
        <f>SUM(SUMIF('Raw Data'!$C$5:$C$500,$B9, 'Raw Data'!$N$5:$N$500))/SUM(COUNTIF('Raw Data'!$C$5:$C$500,$B9))</f>
        <v>-1576.85</v>
      </c>
      <c r="H9" s="73"/>
      <c r="I9" s="72"/>
      <c r="J9" s="72"/>
    </row>
    <row r="10" spans="1:17" ht="15.75" customHeight="1" x14ac:dyDescent="0.25">
      <c r="A10" s="50"/>
      <c r="B10" s="34" t="s">
        <v>358</v>
      </c>
      <c r="C10" s="44">
        <f>SUM(SUMIF('Raw Data'!$C$5:$C$500,$B10, 'Raw Data'!$I$5:$KI$500))</f>
        <v>43092.959999999999</v>
      </c>
      <c r="D10" s="71">
        <f>SUM(COUNTIF('Raw Data'!$C$5:$C$500,$B10))</f>
        <v>1</v>
      </c>
      <c r="E10" s="44">
        <f>SUM(SUMIF('Raw Data'!$C$5:$C$500,$B10, 'Raw Data'!$I$5:$I$500))/SUM(COUNTIF('Raw Data'!$C$5:$C$500,$B10))</f>
        <v>43092.959999999999</v>
      </c>
      <c r="F10" s="53">
        <f>SUM(SUMIF('Raw Data'!$C$5:$C$500,$B10, 'Raw Data'!$K$5:$K$500))/SUM(COUNTIF('Raw Data'!$C$5:$C$500,$B10))</f>
        <v>0.56457667331276384</v>
      </c>
      <c r="G10" s="44">
        <f>SUM(SUMIF('Raw Data'!$C$5:$C$500,$B10, 'Raw Data'!$N$5:$N$500))/SUM(COUNTIF('Raw Data'!$C$5:$C$500,$B10))</f>
        <v>4820.46</v>
      </c>
      <c r="H10" s="73"/>
      <c r="I10" s="72"/>
      <c r="J10" s="72"/>
    </row>
    <row r="11" spans="1:17" ht="15.75" customHeight="1" x14ac:dyDescent="0.25">
      <c r="A11" s="50"/>
      <c r="B11" s="34" t="s">
        <v>97</v>
      </c>
      <c r="C11" s="44">
        <f>SUM(SUMIF('Raw Data'!$C$5:$C$500,$B11, 'Raw Data'!$I$5:$KI$500))</f>
        <v>18198.96</v>
      </c>
      <c r="D11" s="71">
        <f>SUM(COUNTIF('Raw Data'!$C$5:$C$500,$B11))</f>
        <v>1</v>
      </c>
      <c r="E11" s="44">
        <f>SUM(SUMIF('Raw Data'!$C$5:$C$500,$B11, 'Raw Data'!$I$5:$I$500))/SUM(COUNTIF('Raw Data'!$C$5:$C$500,$B11))</f>
        <v>18198.96</v>
      </c>
      <c r="F11" s="53">
        <f>SUM(SUMIF('Raw Data'!$C$5:$C$500,$B11, 'Raw Data'!$K$5:$K$500))/SUM(COUNTIF('Raw Data'!$C$5:$C$500,$B11))</f>
        <v>0.56079138588139099</v>
      </c>
      <c r="G11" s="44">
        <f>SUM(SUMIF('Raw Data'!$C$5:$C$500,$B11, 'Raw Data'!$N$5:$N$500))/SUM(COUNTIF('Raw Data'!$C$5:$C$500,$B11))</f>
        <v>1112.6600000000001</v>
      </c>
      <c r="H11" s="73"/>
      <c r="I11" s="72"/>
      <c r="J11" s="72"/>
    </row>
    <row r="12" spans="1:17" ht="15.75" customHeight="1" x14ac:dyDescent="0.25">
      <c r="A12" s="50"/>
      <c r="B12" s="34" t="s">
        <v>111</v>
      </c>
      <c r="C12" s="44">
        <f>SUM(SUMIF('Raw Data'!$C$5:$C$500,$B12, 'Raw Data'!$I$5:$KI$500))</f>
        <v>67520.205797101444</v>
      </c>
      <c r="D12" s="71">
        <f>SUM(COUNTIF('Raw Data'!$C$5:$C$500,$B12))</f>
        <v>4</v>
      </c>
      <c r="E12" s="44">
        <f>SUM(SUMIF('Raw Data'!$C$5:$C$500,$B12, 'Raw Data'!$I$5:$I$500))/SUM(COUNTIF('Raw Data'!$C$5:$C$500,$B12))</f>
        <v>16880.051449275361</v>
      </c>
      <c r="F12" s="53">
        <f>SUM(SUMIF('Raw Data'!$C$5:$C$500,$B12, 'Raw Data'!$K$5:$K$500))/SUM(COUNTIF('Raw Data'!$C$5:$C$500,$B12))</f>
        <v>0.4933653262294978</v>
      </c>
      <c r="G12" s="44">
        <f>SUM(SUMIF('Raw Data'!$C$5:$C$500,$B12, 'Raw Data'!$N$5:$N$500))/SUM(COUNTIF('Raw Data'!$C$5:$C$500,$B12))</f>
        <v>274.7514492753611</v>
      </c>
      <c r="H12" s="73"/>
      <c r="I12" s="72"/>
      <c r="J12" s="72"/>
    </row>
    <row r="13" spans="1:17" ht="15.75" customHeight="1" x14ac:dyDescent="0.25">
      <c r="A13" s="50"/>
      <c r="B13" s="33" t="s">
        <v>324</v>
      </c>
      <c r="C13" s="44">
        <f>SUM(SUMIF('Raw Data'!$C$5:$C$500,$B13, 'Raw Data'!$I$5:$KI$500))</f>
        <v>2902.37</v>
      </c>
      <c r="D13" s="71">
        <f>SUM(COUNTIF('Raw Data'!$C$5:$C$500,$B13))</f>
        <v>1</v>
      </c>
      <c r="E13" s="44">
        <f>SUM(SUMIF('Raw Data'!$C$5:$C$500,$B13, 'Raw Data'!$I$5:$I$500))/SUM(COUNTIF('Raw Data'!$C$5:$C$500,$B13))</f>
        <v>2902.37</v>
      </c>
      <c r="F13" s="53">
        <f>SUM(SUMIF('Raw Data'!$C$5:$C$500,$B13, 'Raw Data'!$K$5:$K$500))/SUM(COUNTIF('Raw Data'!$C$5:$C$500,$B13))</f>
        <v>0.45997581287017164</v>
      </c>
      <c r="G13" s="44">
        <f>SUM(SUMIF('Raw Data'!$C$5:$C$500,$B13, 'Raw Data'!$N$5:$N$500))/SUM(COUNTIF('Raw Data'!$C$5:$C$500,$B13))</f>
        <v>171.67</v>
      </c>
      <c r="H13" s="73"/>
      <c r="I13" s="72"/>
      <c r="J13" s="72"/>
    </row>
    <row r="14" spans="1:17" ht="15.75" customHeight="1" x14ac:dyDescent="0.25">
      <c r="A14" s="50"/>
      <c r="B14" s="34" t="s">
        <v>112</v>
      </c>
      <c r="C14" s="44">
        <f>SUM(SUMIF('Raw Data'!$C$5:$C$500,$B14, 'Raw Data'!$I$5:$KI$500))</f>
        <v>16129.81</v>
      </c>
      <c r="D14" s="71">
        <f>SUM(COUNTIF('Raw Data'!$C$5:$C$500,$B14))</f>
        <v>2</v>
      </c>
      <c r="E14" s="44">
        <f>SUM(SUMIF('Raw Data'!$C$5:$C$500,$B14, 'Raw Data'!$I$5:$I$500))/SUM(COUNTIF('Raw Data'!$C$5:$C$500,$B14))</f>
        <v>8064.9049999999997</v>
      </c>
      <c r="F14" s="53">
        <f>SUM(SUMIF('Raw Data'!$C$5:$C$500,$B14, 'Raw Data'!$K$5:$K$500))/SUM(COUNTIF('Raw Data'!$C$5:$C$500,$B14))</f>
        <v>0.51808264939256654</v>
      </c>
      <c r="G14" s="44">
        <f>SUM(SUMIF('Raw Data'!$C$5:$C$500,$B14, 'Raw Data'!$N$5:$N$500))/SUM(COUNTIF('Raw Data'!$C$5:$C$500,$B14))</f>
        <v>25.755000000000003</v>
      </c>
      <c r="H14" s="73"/>
      <c r="I14" s="72"/>
      <c r="J14" s="72"/>
      <c r="Q14" s="6"/>
    </row>
    <row r="15" spans="1:17" ht="15.75" customHeight="1" x14ac:dyDescent="0.25">
      <c r="A15" s="50"/>
      <c r="B15" s="33" t="s">
        <v>307</v>
      </c>
      <c r="C15" s="44">
        <f>SUM(SUMIF('Raw Data'!$C$5:$C$500,$B15, 'Raw Data'!$I$5:$KI$500))</f>
        <v>25215.93</v>
      </c>
      <c r="D15" s="71">
        <f>SUM(COUNTIF('Raw Data'!$C$5:$C$500,$B15))</f>
        <v>1</v>
      </c>
      <c r="E15" s="44">
        <f>SUM(SUMIF('Raw Data'!$C$5:$C$500,$B15, 'Raw Data'!$I$5:$I$500))/SUM(COUNTIF('Raw Data'!$C$5:$C$500,$B15))</f>
        <v>25215.93</v>
      </c>
      <c r="F15" s="53">
        <f>SUM(SUMIF('Raw Data'!$C$5:$C$500,$B15, 'Raw Data'!$K$5:$K$500))/SUM(COUNTIF('Raw Data'!$C$5:$C$500,$B15))</f>
        <v>0.28682186221170503</v>
      </c>
      <c r="G15" s="44">
        <f>SUM(SUMIF('Raw Data'!$C$5:$C$500,$B15, 'Raw Data'!$N$5:$N$500))/SUM(COUNTIF('Raw Data'!$C$5:$C$500,$B15))</f>
        <v>-4355.57</v>
      </c>
      <c r="H15" s="73"/>
      <c r="I15" s="72"/>
      <c r="J15" s="72"/>
    </row>
    <row r="16" spans="1:17" ht="15.75" customHeight="1" x14ac:dyDescent="0.25">
      <c r="A16" s="50"/>
      <c r="B16" s="34" t="s">
        <v>45</v>
      </c>
      <c r="C16" s="44">
        <f>SUM(SUMIF('Raw Data'!$C$5:$C$500,$B16, 'Raw Data'!$I$5:$KI$500))</f>
        <v>32720.193663366339</v>
      </c>
      <c r="D16" s="71">
        <f>SUM(COUNTIF('Raw Data'!$C$5:$C$500,$B16))</f>
        <v>4</v>
      </c>
      <c r="E16" s="44">
        <f>SUM(SUMIF('Raw Data'!$C$5:$C$500,$B16, 'Raw Data'!$I$5:$I$500))/SUM(COUNTIF('Raw Data'!$C$5:$C$500,$B16))</f>
        <v>8180.0484158415848</v>
      </c>
      <c r="F16" s="53">
        <f>SUM(SUMIF('Raw Data'!$C$5:$C$500,$B16, 'Raw Data'!$K$5:$K$500))/SUM(COUNTIF('Raw Data'!$C$5:$C$500,$B16))</f>
        <v>0.47485594492491695</v>
      </c>
      <c r="G16" s="44">
        <f>SUM(SUMIF('Raw Data'!$C$5:$C$500,$B16, 'Raw Data'!$N$5:$N$500))/SUM(COUNTIF('Raw Data'!$C$5:$C$500,$B16))</f>
        <v>147.65341584158392</v>
      </c>
      <c r="H16" s="73"/>
      <c r="I16" s="72"/>
      <c r="J16" s="72"/>
    </row>
    <row r="17" spans="1:17" ht="15.75" customHeight="1" x14ac:dyDescent="0.25">
      <c r="A17" s="50"/>
      <c r="B17" s="33" t="s">
        <v>44</v>
      </c>
      <c r="C17" s="44">
        <f>SUM(SUMIF('Raw Data'!$C$5:$C$500,$B17, 'Raw Data'!$I$5:$KI$500))</f>
        <v>68038.221823427579</v>
      </c>
      <c r="D17" s="71">
        <f>SUM(COUNTIF('Raw Data'!$C$5:$C$500,$B17))</f>
        <v>7</v>
      </c>
      <c r="E17" s="44">
        <f>SUM(SUMIF('Raw Data'!$C$5:$C$500,$B17, 'Raw Data'!$I$5:$I$500))/SUM(COUNTIF('Raw Data'!$C$5:$C$500,$B17))</f>
        <v>9719.7459747753692</v>
      </c>
      <c r="F17" s="53">
        <f>SUM(SUMIF('Raw Data'!$C$5:$C$500,$B17, 'Raw Data'!$K$5:$K$500))/SUM(COUNTIF('Raw Data'!$C$5:$C$500,$B17))</f>
        <v>0.52079378139882271</v>
      </c>
      <c r="G17" s="44">
        <f>SUM(SUMIF('Raw Data'!$C$5:$C$500,$B17, 'Raw Data'!$N$5:$N$500))/SUM(COUNTIF('Raw Data'!$C$5:$C$500,$B17))</f>
        <v>27.610260489654497</v>
      </c>
      <c r="H17" s="73"/>
      <c r="I17" s="72"/>
      <c r="J17" s="72"/>
    </row>
    <row r="18" spans="1:17" ht="15.75" customHeight="1" x14ac:dyDescent="0.25">
      <c r="A18" s="50"/>
      <c r="B18" s="34" t="s">
        <v>185</v>
      </c>
      <c r="C18" s="44">
        <f>SUM(SUMIF('Raw Data'!$C$5:$C$500,$B18, 'Raw Data'!$I$5:$KI$500))</f>
        <v>35617.785487309629</v>
      </c>
      <c r="D18" s="71">
        <f>SUM(COUNTIF('Raw Data'!$C$5:$C$500,$B18))</f>
        <v>1</v>
      </c>
      <c r="E18" s="44">
        <f>SUM(SUMIF('Raw Data'!$C$5:$C$500,$B18, 'Raw Data'!$I$5:$I$500))/SUM(COUNTIF('Raw Data'!$C$5:$C$500,$B18))</f>
        <v>35617.785487309629</v>
      </c>
      <c r="F18" s="53">
        <f>SUM(SUMIF('Raw Data'!$C$5:$C$500,$B18, 'Raw Data'!$K$5:$K$500))/SUM(COUNTIF('Raw Data'!$C$5:$C$500,$B18))</f>
        <v>0.56453862058532067</v>
      </c>
      <c r="G18" s="44">
        <f>SUM(SUMIF('Raw Data'!$C$5:$C$500,$B18, 'Raw Data'!$N$5:$N$500))/SUM(COUNTIF('Raw Data'!$C$5:$C$500,$B18))</f>
        <v>6356.8894873096324</v>
      </c>
      <c r="H18" s="73"/>
      <c r="I18" s="72"/>
      <c r="J18" s="72"/>
      <c r="Q18" s="6"/>
    </row>
    <row r="19" spans="1:17" ht="15.75" customHeight="1" x14ac:dyDescent="0.25">
      <c r="A19" s="50"/>
      <c r="B19" s="33" t="s">
        <v>100</v>
      </c>
      <c r="C19" s="44">
        <f>SUM(SUMIF('Raw Data'!$C$5:$C$500,$B19, 'Raw Data'!$I$5:$KI$500))</f>
        <v>129377.20131609871</v>
      </c>
      <c r="D19" s="71">
        <f>SUM(COUNTIF('Raw Data'!$C$5:$C$500,$B19))</f>
        <v>3</v>
      </c>
      <c r="E19" s="44">
        <f>SUM(SUMIF('Raw Data'!$C$5:$C$500,$B19, 'Raw Data'!$I$5:$I$500))/SUM(COUNTIF('Raw Data'!$C$5:$C$500,$B19))</f>
        <v>43125.733772032901</v>
      </c>
      <c r="F19" s="53">
        <f>SUM(SUMIF('Raw Data'!$C$5:$C$500,$B19, 'Raw Data'!$K$5:$K$500))/SUM(COUNTIF('Raw Data'!$C$5:$C$500,$B19))</f>
        <v>0.50671090696874199</v>
      </c>
      <c r="G19" s="44">
        <f>SUM(SUMIF('Raw Data'!$C$5:$C$500,$B19, 'Raw Data'!$N$5:$N$500))/SUM(COUNTIF('Raw Data'!$C$5:$C$500,$B19))</f>
        <v>169.50110536623711</v>
      </c>
      <c r="H19" s="73"/>
      <c r="I19" s="72"/>
      <c r="J19" s="72"/>
    </row>
    <row r="20" spans="1:17" ht="15.75" customHeight="1" x14ac:dyDescent="0.25">
      <c r="A20" s="50"/>
      <c r="B20" s="34" t="s">
        <v>41</v>
      </c>
      <c r="C20" s="44">
        <f>SUM(SUMIF('Raw Data'!$C$5:$C$500,$B20, 'Raw Data'!$I$5:$KI$500))</f>
        <v>590822.22008125356</v>
      </c>
      <c r="D20" s="71">
        <f>SUM(COUNTIF('Raw Data'!$C$5:$C$500,$B20))</f>
        <v>45</v>
      </c>
      <c r="E20" s="44">
        <f>SUM(SUMIF('Raw Data'!$C$5:$C$500,$B20, 'Raw Data'!$I$5:$I$500))/SUM(COUNTIF('Raw Data'!$C$5:$C$500,$B20))</f>
        <v>13129.382668472301</v>
      </c>
      <c r="F20" s="53">
        <f>SUM(SUMIF('Raw Data'!$C$5:$C$500,$B20, 'Raw Data'!$K$5:$K$500))/SUM(COUNTIF('Raw Data'!$C$5:$C$500,$B20))</f>
        <v>0.52131387565235132</v>
      </c>
      <c r="G20" s="44">
        <f>SUM(SUMIF('Raw Data'!$C$5:$C$500,$B20, 'Raw Data'!$N$5:$N$500))/SUM(COUNTIF('Raw Data'!$C$5:$C$500,$B20))</f>
        <v>478.93489069452528</v>
      </c>
      <c r="H20" s="73"/>
      <c r="I20" s="72"/>
      <c r="J20" s="72"/>
    </row>
    <row r="21" spans="1:17" ht="15.75" customHeight="1" x14ac:dyDescent="0.25">
      <c r="A21" s="50"/>
      <c r="B21" s="34" t="s">
        <v>34</v>
      </c>
      <c r="C21" s="44">
        <f>SUM(SUMIF('Raw Data'!$C$5:$C$500,$B21, 'Raw Data'!$I$5:$KI$500))</f>
        <v>54442.28</v>
      </c>
      <c r="D21" s="71">
        <f>SUM(COUNTIF('Raw Data'!$C$5:$C$500,$B21))</f>
        <v>3</v>
      </c>
      <c r="E21" s="44">
        <f>SUM(SUMIF('Raw Data'!$C$5:$C$500,$B21, 'Raw Data'!$I$5:$I$500))/SUM(COUNTIF('Raw Data'!$C$5:$C$500,$B21))</f>
        <v>18147.426666666666</v>
      </c>
      <c r="F21" s="53">
        <f>SUM(SUMIF('Raw Data'!$C$5:$C$500,$B21, 'Raw Data'!$K$5:$K$500))/SUM(COUNTIF('Raw Data'!$C$5:$C$500,$B21))</f>
        <v>0.56570993111142032</v>
      </c>
      <c r="G21" s="44">
        <f>SUM(SUMIF('Raw Data'!$C$5:$C$500,$B21, 'Raw Data'!$N$5:$N$500))/SUM(COUNTIF('Raw Data'!$C$5:$C$500,$B21))</f>
        <v>324.64333333333326</v>
      </c>
      <c r="H21" s="73"/>
      <c r="I21" s="72"/>
      <c r="J21" s="72"/>
    </row>
    <row r="22" spans="1:17" ht="15.75" customHeight="1" x14ac:dyDescent="0.25">
      <c r="A22" s="50"/>
      <c r="B22" s="34" t="s">
        <v>38</v>
      </c>
      <c r="C22" s="44">
        <f>SUM(SUMIF('Raw Data'!$C$5:$C$500,$B22, 'Raw Data'!$I$5:$KI$500))</f>
        <v>458643.3899999999</v>
      </c>
      <c r="D22" s="71">
        <f>SUM(COUNTIF('Raw Data'!$C$5:$C$500,$B22))</f>
        <v>25</v>
      </c>
      <c r="E22" s="44">
        <f>SUM(SUMIF('Raw Data'!$C$5:$C$500,$B22, 'Raw Data'!$I$5:$I$500))/SUM(COUNTIF('Raw Data'!$C$5:$C$500,$B22))</f>
        <v>18345.735599999996</v>
      </c>
      <c r="F22" s="53">
        <f>SUM(SUMIF('Raw Data'!$C$5:$C$500,$B22, 'Raw Data'!$K$5:$K$500))/SUM(COUNTIF('Raw Data'!$C$5:$C$500,$B22))</f>
        <v>0.46009081538011254</v>
      </c>
      <c r="G22" s="44">
        <f>SUM(SUMIF('Raw Data'!$C$5:$C$500,$B22, 'Raw Data'!$N$5:$N$500))/SUM(COUNTIF('Raw Data'!$C$5:$C$500,$B22))</f>
        <v>26.621200000000062</v>
      </c>
      <c r="H22" s="73"/>
      <c r="I22" s="72"/>
      <c r="J22" s="72"/>
    </row>
    <row r="23" spans="1:17" ht="15.75" customHeight="1" x14ac:dyDescent="0.25">
      <c r="A23" s="50"/>
      <c r="B23" s="33" t="s">
        <v>269</v>
      </c>
      <c r="C23" s="44">
        <f>SUM(SUMIF('Raw Data'!$C$5:$C$500,$B23, 'Raw Data'!$I$5:$KI$500))</f>
        <v>0</v>
      </c>
      <c r="D23" s="71">
        <f>SUM(COUNTIF('Raw Data'!$C$5:$C$500,$B23))</f>
        <v>0</v>
      </c>
      <c r="E23" s="44" t="e">
        <f>SUM(SUMIF('Raw Data'!$C$5:$C$500,$B23, 'Raw Data'!$I$5:$I$500))/SUM(COUNTIF('Raw Data'!$C$5:$C$500,$B23))</f>
        <v>#DIV/0!</v>
      </c>
      <c r="F23" s="53" t="e">
        <f>SUM(SUMIF('Raw Data'!$C$5:$C$500,$B23, 'Raw Data'!$K$5:$K$500))/SUM(COUNTIF('Raw Data'!$C$5:$C$500,$B23))</f>
        <v>#DIV/0!</v>
      </c>
      <c r="G23" s="44" t="e">
        <f>SUM(SUMIF('Raw Data'!$C$5:$C$500,$B23, 'Raw Data'!$N$5:$N$500))/SUM(COUNTIF('Raw Data'!$C$5:$C$500,$B23))</f>
        <v>#DIV/0!</v>
      </c>
      <c r="H23" s="73"/>
      <c r="I23" s="72"/>
      <c r="J23" s="72"/>
    </row>
    <row r="24" spans="1:17" ht="15.75" customHeight="1" x14ac:dyDescent="0.25">
      <c r="A24" s="50"/>
      <c r="B24" s="34" t="s">
        <v>416</v>
      </c>
      <c r="C24" s="44">
        <f>SUM(SUMIF('Raw Data'!$C$5:$C$500,$B24, 'Raw Data'!$I$5:$KI$500))</f>
        <v>8290.9699999999993</v>
      </c>
      <c r="D24" s="71">
        <f>SUM(COUNTIF('Raw Data'!$C$5:$C$500,$B24))</f>
        <v>1</v>
      </c>
      <c r="E24" s="44">
        <f>SUM(SUMIF('Raw Data'!$C$5:$C$500,$B24, 'Raw Data'!$I$5:$I$500))/SUM(COUNTIF('Raw Data'!$C$5:$C$500,$B24))</f>
        <v>8290.9699999999993</v>
      </c>
      <c r="F24" s="53">
        <f>SUM(SUMIF('Raw Data'!$C$5:$C$500,$B24, 'Raw Data'!$K$5:$K$500))/SUM(COUNTIF('Raw Data'!$C$5:$C$500,$B24))</f>
        <v>0.49779700083343681</v>
      </c>
      <c r="G24" s="44">
        <f>SUM(SUMIF('Raw Data'!$C$5:$C$500,$B24, 'Raw Data'!$N$5:$N$500))/SUM(COUNTIF('Raw Data'!$C$5:$C$500,$B24))</f>
        <v>643.47</v>
      </c>
      <c r="H24" s="73"/>
      <c r="I24" s="72"/>
      <c r="J24" s="72"/>
      <c r="Q24" s="6"/>
    </row>
    <row r="25" spans="1:17" ht="15.75" customHeight="1" x14ac:dyDescent="0.25">
      <c r="A25" s="50"/>
      <c r="B25" s="33" t="s">
        <v>332</v>
      </c>
      <c r="C25" s="44">
        <f>SUM(SUMIF('Raw Data'!$C$5:$C$500,$B25, 'Raw Data'!$I$5:$KI$500))</f>
        <v>12170.49</v>
      </c>
      <c r="D25" s="71">
        <f>SUM(COUNTIF('Raw Data'!$C$5:$C$500,$B25))</f>
        <v>1</v>
      </c>
      <c r="E25" s="44">
        <f>SUM(SUMIF('Raw Data'!$C$5:$C$500,$B25, 'Raw Data'!$I$5:$I$500))/SUM(COUNTIF('Raw Data'!$C$5:$C$500,$B25))</f>
        <v>12170.49</v>
      </c>
      <c r="F25" s="53">
        <f>SUM(SUMIF('Raw Data'!$C$5:$C$500,$B25, 'Raw Data'!$K$5:$K$500))/SUM(COUNTIF('Raw Data'!$C$5:$C$500,$B25))</f>
        <v>0.39621494286589942</v>
      </c>
      <c r="G25" s="44">
        <f>SUM(SUMIF('Raw Data'!$C$5:$C$500,$B25, 'Raw Data'!$N$5:$N$500))/SUM(COUNTIF('Raw Data'!$C$5:$C$500,$B25))</f>
        <v>-576.16</v>
      </c>
      <c r="H25" s="73"/>
      <c r="I25" s="72"/>
      <c r="J25" s="72"/>
    </row>
    <row r="26" spans="1:17" ht="15.75" customHeight="1" x14ac:dyDescent="0.25">
      <c r="A26" s="50"/>
      <c r="B26" s="34" t="s">
        <v>57</v>
      </c>
      <c r="C26" s="44">
        <f>SUM(SUMIF('Raw Data'!$C$5:$C$500,$B26, 'Raw Data'!$I$5:$KI$500))</f>
        <v>81499.948426265692</v>
      </c>
      <c r="D26" s="71">
        <f>SUM(COUNTIF('Raw Data'!$C$5:$C$500,$B26))</f>
        <v>6</v>
      </c>
      <c r="E26" s="44">
        <f>SUM(SUMIF('Raw Data'!$C$5:$C$500,$B26, 'Raw Data'!$I$5:$I$500))/SUM(COUNTIF('Raw Data'!$C$5:$C$500,$B26))</f>
        <v>13583.324737710949</v>
      </c>
      <c r="F26" s="53">
        <f>SUM(SUMIF('Raw Data'!$C$5:$C$500,$B26, 'Raw Data'!$K$5:$K$500))/SUM(COUNTIF('Raw Data'!$C$5:$C$500,$B26))</f>
        <v>0.52669559620028739</v>
      </c>
      <c r="G26" s="44">
        <f>SUM(SUMIF('Raw Data'!$C$5:$C$500,$B26, 'Raw Data'!$N$5:$N$500))/SUM(COUNTIF('Raw Data'!$C$5:$C$500,$B26))</f>
        <v>193.95807104428218</v>
      </c>
      <c r="H26" s="73"/>
      <c r="I26" s="72"/>
      <c r="J26" s="72"/>
    </row>
    <row r="27" spans="1:17" ht="15.75" customHeight="1" x14ac:dyDescent="0.25">
      <c r="A27" s="50"/>
      <c r="B27" s="33" t="s">
        <v>394</v>
      </c>
      <c r="C27" s="44">
        <f>SUM(SUMIF('Raw Data'!$C$5:$C$500,$B27, 'Raw Data'!$I$5:$KI$500))</f>
        <v>15699.94</v>
      </c>
      <c r="D27" s="71">
        <f>SUM(COUNTIF('Raw Data'!$C$5:$C$500,$B27))</f>
        <v>1</v>
      </c>
      <c r="E27" s="44">
        <f>SUM(SUMIF('Raw Data'!$C$5:$C$500,$B27, 'Raw Data'!$I$5:$I$500))/SUM(COUNTIF('Raw Data'!$C$5:$C$500,$B27))</f>
        <v>15699.94</v>
      </c>
      <c r="F27" s="53">
        <f>SUM(SUMIF('Raw Data'!$C$5:$C$500,$B27, 'Raw Data'!$K$5:$K$500))/SUM(COUNTIF('Raw Data'!$C$5:$C$500,$B27))</f>
        <v>0.49854521737025748</v>
      </c>
      <c r="G27" s="44">
        <f>SUM(SUMIF('Raw Data'!$C$5:$C$500,$B27, 'Raw Data'!$N$5:$N$500))/SUM(COUNTIF('Raw Data'!$C$5:$C$500,$B27))</f>
        <v>811.51</v>
      </c>
      <c r="H27" s="73"/>
      <c r="I27" s="72"/>
      <c r="J27" s="72"/>
    </row>
    <row r="28" spans="1:17" ht="15.75" customHeight="1" x14ac:dyDescent="0.25">
      <c r="A28" s="50"/>
      <c r="B28" s="34" t="s">
        <v>388</v>
      </c>
      <c r="C28" s="44">
        <f>SUM(SUMIF('Raw Data'!$C$5:$C$500,$B28, 'Raw Data'!$I$5:$KI$500))</f>
        <v>8961.5400000000009</v>
      </c>
      <c r="D28" s="71">
        <f>SUM(COUNTIF('Raw Data'!$C$5:$C$500,$B28))</f>
        <v>1</v>
      </c>
      <c r="E28" s="44">
        <f>SUM(SUMIF('Raw Data'!$C$5:$C$500,$B28, 'Raw Data'!$I$5:$I$500))/SUM(COUNTIF('Raw Data'!$C$5:$C$500,$B28))</f>
        <v>8961.5400000000009</v>
      </c>
      <c r="F28" s="53">
        <f>SUM(SUMIF('Raw Data'!$C$5:$C$500,$B28, 'Raw Data'!$K$5:$K$500))/SUM(COUNTIF('Raw Data'!$C$5:$C$500,$B28))</f>
        <v>0.42866851009982665</v>
      </c>
      <c r="G28" s="44">
        <f>SUM(SUMIF('Raw Data'!$C$5:$C$500,$B28, 'Raw Data'!$N$5:$N$500))/SUM(COUNTIF('Raw Data'!$C$5:$C$500,$B28))</f>
        <v>-419.16</v>
      </c>
      <c r="H28" s="73"/>
      <c r="I28" s="72"/>
      <c r="J28" s="72"/>
      <c r="Q28" s="6"/>
    </row>
    <row r="29" spans="1:17" ht="15.75" customHeight="1" thickBot="1" x14ac:dyDescent="0.3">
      <c r="A29" s="50"/>
      <c r="B29" s="33" t="s">
        <v>352</v>
      </c>
      <c r="C29" s="44">
        <f>SUM(SUMIF('Raw Data'!$C$5:$C$500,$B29, 'Raw Data'!$I$5:$KI$500))</f>
        <v>10008.200000000001</v>
      </c>
      <c r="D29" s="71">
        <f>SUM(COUNTIF('Raw Data'!$C$5:$C$500,$B29))</f>
        <v>1</v>
      </c>
      <c r="E29" s="44">
        <f>SUM(SUMIF('Raw Data'!$C$5:$C$500,$B29, 'Raw Data'!$I$5:$I$500))/SUM(COUNTIF('Raw Data'!$C$5:$C$500,$B29))</f>
        <v>10008.200000000001</v>
      </c>
      <c r="F29" s="53">
        <f>SUM(SUMIF('Raw Data'!$C$5:$C$500,$B29, 'Raw Data'!$K$5:$K$500))/SUM(COUNTIF('Raw Data'!$C$5:$C$500,$B29))</f>
        <v>0.6280549949041786</v>
      </c>
      <c r="G29" s="44">
        <f>SUM(SUMIF('Raw Data'!$C$5:$C$500,$B29, 'Raw Data'!$N$5:$N$500))/SUM(COUNTIF('Raw Data'!$C$5:$C$500,$B29))</f>
        <v>703.8</v>
      </c>
      <c r="H29" s="73"/>
      <c r="I29" s="72"/>
      <c r="J29" s="72"/>
    </row>
    <row r="30" spans="1:17" ht="15.75" customHeight="1" x14ac:dyDescent="0.25">
      <c r="B30" s="144"/>
      <c r="C30" s="178">
        <f>SUM(C4:C18)</f>
        <v>2813382.1190563585</v>
      </c>
      <c r="D30" s="182">
        <f>SUM(D4:D18)</f>
        <v>212</v>
      </c>
      <c r="E30" s="178">
        <f>AVERAGE(E4:E18)</f>
        <v>16076.877222316065</v>
      </c>
      <c r="F30" s="180">
        <f>AVERAGE(F4:F18)</f>
        <v>0.49451561766043489</v>
      </c>
      <c r="G30" s="178">
        <f>AVERAGE(G4:G18)</f>
        <v>629.32991645525988</v>
      </c>
      <c r="H30" s="186"/>
      <c r="I30" s="184"/>
      <c r="J30" s="184"/>
    </row>
    <row r="31" spans="1:17" ht="15.75" customHeight="1" thickBot="1" x14ac:dyDescent="0.3">
      <c r="B31" s="145"/>
      <c r="C31" s="179"/>
      <c r="D31" s="183"/>
      <c r="E31" s="179"/>
      <c r="F31" s="181"/>
      <c r="G31" s="179"/>
      <c r="H31" s="186"/>
      <c r="I31" s="184"/>
      <c r="J31" s="184"/>
    </row>
    <row r="32" spans="1:17" ht="15.75" thickBot="1" x14ac:dyDescent="0.3">
      <c r="B32" s="46"/>
      <c r="C32" s="47"/>
      <c r="D32" s="47"/>
      <c r="E32" s="47"/>
      <c r="F32" s="47"/>
      <c r="G32" s="47"/>
      <c r="H32" s="47"/>
      <c r="I32" s="47"/>
      <c r="J32" s="47"/>
    </row>
    <row r="33" spans="2:23" x14ac:dyDescent="0.25">
      <c r="B33" s="57"/>
      <c r="C33" s="58"/>
      <c r="D33" s="58"/>
      <c r="E33" s="58"/>
      <c r="F33" s="58"/>
      <c r="G33" s="58"/>
      <c r="H33" s="58"/>
      <c r="I33" s="58"/>
      <c r="J33" s="58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60"/>
    </row>
    <row r="34" spans="2:23" x14ac:dyDescent="0.25">
      <c r="B34" s="61"/>
      <c r="C34" s="48"/>
      <c r="D34" s="48"/>
      <c r="E34" s="48"/>
      <c r="F34" s="48"/>
      <c r="G34" s="48"/>
      <c r="H34" s="48"/>
      <c r="I34" s="48"/>
      <c r="J34" s="48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3"/>
    </row>
    <row r="35" spans="2:23" x14ac:dyDescent="0.25">
      <c r="B35" s="61"/>
      <c r="C35" s="48"/>
      <c r="D35" s="48"/>
      <c r="E35" s="48"/>
      <c r="F35" s="48"/>
      <c r="G35" s="48"/>
      <c r="H35" s="48"/>
      <c r="I35" s="48"/>
      <c r="J35" s="48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3"/>
    </row>
    <row r="36" spans="2:23" x14ac:dyDescent="0.25">
      <c r="B36" s="61"/>
      <c r="C36" s="48"/>
      <c r="D36" s="48"/>
      <c r="E36" s="48"/>
      <c r="F36" s="48"/>
      <c r="G36" s="48"/>
      <c r="H36" s="48"/>
      <c r="I36" s="48"/>
      <c r="J36" s="48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3"/>
    </row>
    <row r="37" spans="2:23" x14ac:dyDescent="0.25">
      <c r="B37" s="61"/>
      <c r="C37" s="48"/>
      <c r="D37" s="48"/>
      <c r="E37" s="48"/>
      <c r="F37" s="48"/>
      <c r="G37" s="48"/>
      <c r="H37" s="48"/>
      <c r="I37" s="48"/>
      <c r="J37" s="48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3"/>
    </row>
    <row r="38" spans="2:23" x14ac:dyDescent="0.25">
      <c r="B38" s="61"/>
      <c r="C38" s="48"/>
      <c r="D38" s="48"/>
      <c r="E38" s="48"/>
      <c r="F38" s="48"/>
      <c r="G38" s="48"/>
      <c r="H38" s="48"/>
      <c r="I38" s="48"/>
      <c r="J38" s="48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3"/>
    </row>
    <row r="39" spans="2:23" x14ac:dyDescent="0.25">
      <c r="B39" s="61"/>
      <c r="C39" s="48"/>
      <c r="D39" s="48"/>
      <c r="E39" s="48"/>
      <c r="F39" s="48"/>
      <c r="G39" s="48"/>
      <c r="H39" s="48"/>
      <c r="I39" s="48"/>
      <c r="J39" s="48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3"/>
    </row>
    <row r="40" spans="2:23" x14ac:dyDescent="0.25">
      <c r="B40" s="61"/>
      <c r="C40" s="48"/>
      <c r="D40" s="48"/>
      <c r="E40" s="48"/>
      <c r="F40" s="48"/>
      <c r="G40" s="48"/>
      <c r="H40" s="48"/>
      <c r="I40" s="48"/>
      <c r="J40" s="48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3"/>
    </row>
    <row r="41" spans="2:23" x14ac:dyDescent="0.25">
      <c r="B41" s="61"/>
      <c r="C41" s="48"/>
      <c r="D41" s="48"/>
      <c r="E41" s="48"/>
      <c r="F41" s="48"/>
      <c r="G41" s="48"/>
      <c r="H41" s="48"/>
      <c r="I41" s="48"/>
      <c r="J41" s="48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3"/>
    </row>
    <row r="42" spans="2:23" x14ac:dyDescent="0.25">
      <c r="B42" s="61"/>
      <c r="C42" s="48"/>
      <c r="D42" s="48"/>
      <c r="E42" s="48"/>
      <c r="F42" s="48"/>
      <c r="G42" s="48"/>
      <c r="H42" s="48"/>
      <c r="I42" s="48"/>
      <c r="J42" s="48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3"/>
    </row>
    <row r="43" spans="2:23" x14ac:dyDescent="0.25">
      <c r="B43" s="61"/>
      <c r="C43" s="48"/>
      <c r="D43" s="48"/>
      <c r="E43" s="48"/>
      <c r="F43" s="48"/>
      <c r="G43" s="48"/>
      <c r="H43" s="48"/>
      <c r="I43" s="48"/>
      <c r="J43" s="48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3"/>
    </row>
    <row r="44" spans="2:23" x14ac:dyDescent="0.25">
      <c r="B44" s="61"/>
      <c r="C44" s="48"/>
      <c r="D44" s="48"/>
      <c r="E44" s="48"/>
      <c r="F44" s="48"/>
      <c r="G44" s="48"/>
      <c r="H44" s="48"/>
      <c r="I44" s="48"/>
      <c r="J44" s="48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3"/>
    </row>
    <row r="45" spans="2:23" x14ac:dyDescent="0.25">
      <c r="B45" s="61"/>
      <c r="C45" s="48"/>
      <c r="D45" s="48"/>
      <c r="E45" s="48"/>
      <c r="F45" s="48"/>
      <c r="G45" s="48"/>
      <c r="H45" s="48"/>
      <c r="I45" s="48"/>
      <c r="J45" s="48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3"/>
    </row>
    <row r="46" spans="2:23" x14ac:dyDescent="0.25">
      <c r="B46" s="61"/>
      <c r="C46" s="48"/>
      <c r="D46" s="48"/>
      <c r="E46" s="48"/>
      <c r="F46" s="48"/>
      <c r="G46" s="48"/>
      <c r="H46" s="48"/>
      <c r="I46" s="48"/>
      <c r="J46" s="48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3"/>
    </row>
    <row r="47" spans="2:23" x14ac:dyDescent="0.25">
      <c r="B47" s="61"/>
      <c r="C47" s="48"/>
      <c r="D47" s="48"/>
      <c r="E47" s="48"/>
      <c r="F47" s="48"/>
      <c r="G47" s="48"/>
      <c r="H47" s="48"/>
      <c r="I47" s="48"/>
      <c r="J47" s="48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3"/>
    </row>
    <row r="48" spans="2:23" x14ac:dyDescent="0.25">
      <c r="B48" s="61"/>
      <c r="C48" s="48"/>
      <c r="D48" s="48"/>
      <c r="E48" s="48"/>
      <c r="F48" s="48"/>
      <c r="G48" s="48"/>
      <c r="H48" s="48"/>
      <c r="I48" s="48"/>
      <c r="J48" s="48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3"/>
    </row>
    <row r="49" spans="2:23" x14ac:dyDescent="0.25">
      <c r="B49" s="61"/>
      <c r="C49" s="48"/>
      <c r="D49" s="48"/>
      <c r="E49" s="48"/>
      <c r="F49" s="48"/>
      <c r="G49" s="48"/>
      <c r="H49" s="48"/>
      <c r="I49" s="48"/>
      <c r="J49" s="48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3"/>
    </row>
    <row r="50" spans="2:23" x14ac:dyDescent="0.25">
      <c r="B50" s="61"/>
      <c r="C50" s="48"/>
      <c r="D50" s="48"/>
      <c r="E50" s="48"/>
      <c r="F50" s="48"/>
      <c r="G50" s="48"/>
      <c r="H50" s="48"/>
      <c r="I50" s="48"/>
      <c r="J50" s="48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3"/>
    </row>
    <row r="51" spans="2:23" x14ac:dyDescent="0.25">
      <c r="B51" s="61"/>
      <c r="C51" s="48"/>
      <c r="D51" s="48"/>
      <c r="E51" s="48"/>
      <c r="F51" s="48"/>
      <c r="G51" s="48"/>
      <c r="H51" s="48"/>
      <c r="I51" s="48"/>
      <c r="J51" s="48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3"/>
    </row>
    <row r="52" spans="2:23" x14ac:dyDescent="0.25">
      <c r="B52" s="64"/>
      <c r="C52" s="47"/>
      <c r="D52" s="47"/>
      <c r="E52" s="47"/>
      <c r="F52" s="47"/>
      <c r="G52" s="47"/>
      <c r="H52" s="47"/>
      <c r="I52" s="47"/>
      <c r="J52" s="47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3"/>
    </row>
    <row r="53" spans="2:23" x14ac:dyDescent="0.25">
      <c r="B53" s="64"/>
      <c r="C53" s="47"/>
      <c r="D53" s="47"/>
      <c r="E53" s="47"/>
      <c r="F53" s="47"/>
      <c r="G53" s="47"/>
      <c r="H53" s="47"/>
      <c r="I53" s="47"/>
      <c r="J53" s="47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3"/>
    </row>
    <row r="54" spans="2:23" x14ac:dyDescent="0.25">
      <c r="B54" s="64"/>
      <c r="C54" s="47"/>
      <c r="D54" s="47"/>
      <c r="E54" s="47"/>
      <c r="F54" s="47"/>
      <c r="G54" s="47"/>
      <c r="H54" s="47"/>
      <c r="I54" s="47"/>
      <c r="J54" s="47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3"/>
    </row>
    <row r="55" spans="2:23" x14ac:dyDescent="0.25">
      <c r="B55" s="64"/>
      <c r="C55" s="47"/>
      <c r="D55" s="47"/>
      <c r="E55" s="47"/>
      <c r="F55" s="47"/>
      <c r="G55" s="47"/>
      <c r="H55" s="47"/>
      <c r="I55" s="47"/>
      <c r="J55" s="47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3"/>
    </row>
    <row r="56" spans="2:23" x14ac:dyDescent="0.25">
      <c r="B56" s="64"/>
      <c r="C56" s="47"/>
      <c r="D56" s="47"/>
      <c r="E56" s="47"/>
      <c r="F56" s="47"/>
      <c r="G56" s="47"/>
      <c r="H56" s="47"/>
      <c r="I56" s="47"/>
      <c r="J56" s="47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3"/>
    </row>
    <row r="57" spans="2:23" x14ac:dyDescent="0.25">
      <c r="B57" s="64"/>
      <c r="C57" s="47"/>
      <c r="D57" s="47"/>
      <c r="E57" s="47"/>
      <c r="F57" s="47"/>
      <c r="G57" s="47"/>
      <c r="H57" s="47"/>
      <c r="I57" s="47"/>
      <c r="J57" s="47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3"/>
    </row>
    <row r="58" spans="2:23" x14ac:dyDescent="0.25">
      <c r="B58" s="64"/>
      <c r="C58" s="47"/>
      <c r="D58" s="47"/>
      <c r="E58" s="47"/>
      <c r="F58" s="47"/>
      <c r="G58" s="47"/>
      <c r="H58" s="47"/>
      <c r="I58" s="47"/>
      <c r="J58" s="47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3"/>
    </row>
    <row r="59" spans="2:23" x14ac:dyDescent="0.25">
      <c r="B59" s="64"/>
      <c r="C59" s="47"/>
      <c r="D59" s="47"/>
      <c r="E59" s="47"/>
      <c r="F59" s="47"/>
      <c r="G59" s="47"/>
      <c r="H59" s="47"/>
      <c r="I59" s="47"/>
      <c r="J59" s="47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3"/>
    </row>
    <row r="60" spans="2:23" x14ac:dyDescent="0.25">
      <c r="B60" s="64"/>
      <c r="C60" s="47"/>
      <c r="D60" s="47"/>
      <c r="E60" s="47"/>
      <c r="F60" s="47"/>
      <c r="G60" s="47"/>
      <c r="H60" s="47"/>
      <c r="I60" s="47"/>
      <c r="J60" s="47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3"/>
    </row>
    <row r="61" spans="2:23" x14ac:dyDescent="0.25">
      <c r="B61" s="64"/>
      <c r="C61" s="47"/>
      <c r="D61" s="47"/>
      <c r="E61" s="47"/>
      <c r="F61" s="47"/>
      <c r="G61" s="47"/>
      <c r="H61" s="47"/>
      <c r="I61" s="47"/>
      <c r="J61" s="47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3"/>
    </row>
    <row r="62" spans="2:23" x14ac:dyDescent="0.25">
      <c r="B62" s="64"/>
      <c r="C62" s="47"/>
      <c r="D62" s="47"/>
      <c r="E62" s="47"/>
      <c r="F62" s="47"/>
      <c r="G62" s="47"/>
      <c r="H62" s="47"/>
      <c r="I62" s="47"/>
      <c r="J62" s="47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3"/>
    </row>
    <row r="63" spans="2:23" ht="15.75" thickBot="1" x14ac:dyDescent="0.3">
      <c r="B63" s="65"/>
      <c r="C63" s="66"/>
      <c r="D63" s="66"/>
      <c r="E63" s="66"/>
      <c r="F63" s="66"/>
      <c r="G63" s="66"/>
      <c r="H63" s="66"/>
      <c r="I63" s="66"/>
      <c r="J63" s="66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8"/>
    </row>
    <row r="64" spans="2:23" ht="15.75" thickBot="1" x14ac:dyDescent="0.3"/>
    <row r="65" spans="2:23" x14ac:dyDescent="0.25">
      <c r="B65" s="69"/>
      <c r="C65" s="70"/>
      <c r="D65" s="70"/>
      <c r="E65" s="70"/>
      <c r="F65" s="70"/>
      <c r="G65" s="70"/>
      <c r="H65" s="70"/>
      <c r="I65" s="70"/>
      <c r="J65" s="70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60"/>
    </row>
    <row r="66" spans="2:23" x14ac:dyDescent="0.25">
      <c r="B66" s="64"/>
      <c r="C66" s="47"/>
      <c r="D66" s="47"/>
      <c r="E66" s="47"/>
      <c r="F66" s="47"/>
      <c r="G66" s="47"/>
      <c r="H66" s="47"/>
      <c r="I66" s="47"/>
      <c r="J66" s="47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3"/>
    </row>
    <row r="67" spans="2:23" x14ac:dyDescent="0.25">
      <c r="B67" s="64"/>
      <c r="C67" s="47"/>
      <c r="D67" s="47"/>
      <c r="E67" s="47"/>
      <c r="F67" s="47"/>
      <c r="G67" s="47"/>
      <c r="H67" s="47"/>
      <c r="I67" s="47"/>
      <c r="J67" s="47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3"/>
    </row>
    <row r="68" spans="2:23" x14ac:dyDescent="0.25">
      <c r="B68" s="64"/>
      <c r="C68" s="47"/>
      <c r="D68" s="47"/>
      <c r="E68" s="47"/>
      <c r="F68" s="47"/>
      <c r="G68" s="47"/>
      <c r="H68" s="47"/>
      <c r="I68" s="47"/>
      <c r="J68" s="47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3"/>
    </row>
    <row r="69" spans="2:23" x14ac:dyDescent="0.25">
      <c r="B69" s="64"/>
      <c r="C69" s="47"/>
      <c r="D69" s="47"/>
      <c r="E69" s="47"/>
      <c r="F69" s="47"/>
      <c r="G69" s="47"/>
      <c r="H69" s="47"/>
      <c r="I69" s="47"/>
      <c r="J69" s="47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3"/>
    </row>
    <row r="70" spans="2:23" x14ac:dyDescent="0.25">
      <c r="B70" s="64"/>
      <c r="C70" s="47"/>
      <c r="D70" s="47"/>
      <c r="E70" s="47"/>
      <c r="F70" s="47"/>
      <c r="G70" s="47"/>
      <c r="H70" s="47"/>
      <c r="I70" s="47"/>
      <c r="J70" s="47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3"/>
    </row>
    <row r="71" spans="2:23" x14ac:dyDescent="0.25">
      <c r="B71" s="64"/>
      <c r="C71" s="47"/>
      <c r="D71" s="47"/>
      <c r="E71" s="47"/>
      <c r="F71" s="47"/>
      <c r="G71" s="47"/>
      <c r="H71" s="47"/>
      <c r="I71" s="47"/>
      <c r="J71" s="47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3"/>
    </row>
    <row r="72" spans="2:23" x14ac:dyDescent="0.25">
      <c r="B72" s="64"/>
      <c r="C72" s="47"/>
      <c r="D72" s="47"/>
      <c r="E72" s="47"/>
      <c r="F72" s="47"/>
      <c r="G72" s="47"/>
      <c r="H72" s="47"/>
      <c r="I72" s="47"/>
      <c r="J72" s="47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3"/>
    </row>
    <row r="73" spans="2:23" x14ac:dyDescent="0.25">
      <c r="B73" s="64"/>
      <c r="C73" s="47"/>
      <c r="D73" s="47"/>
      <c r="E73" s="47"/>
      <c r="F73" s="47"/>
      <c r="G73" s="47"/>
      <c r="H73" s="47"/>
      <c r="I73" s="47"/>
      <c r="J73" s="47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3"/>
    </row>
    <row r="74" spans="2:23" x14ac:dyDescent="0.25">
      <c r="B74" s="64"/>
      <c r="C74" s="47"/>
      <c r="D74" s="47"/>
      <c r="E74" s="47"/>
      <c r="F74" s="47"/>
      <c r="G74" s="47"/>
      <c r="H74" s="47"/>
      <c r="I74" s="47"/>
      <c r="J74" s="47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3"/>
    </row>
    <row r="75" spans="2:23" x14ac:dyDescent="0.25">
      <c r="B75" s="64"/>
      <c r="C75" s="47"/>
      <c r="D75" s="47"/>
      <c r="E75" s="47"/>
      <c r="F75" s="47"/>
      <c r="G75" s="47"/>
      <c r="H75" s="47"/>
      <c r="I75" s="47"/>
      <c r="J75" s="47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3"/>
    </row>
    <row r="76" spans="2:23" x14ac:dyDescent="0.25">
      <c r="B76" s="64"/>
      <c r="C76" s="47"/>
      <c r="D76" s="47"/>
      <c r="E76" s="47"/>
      <c r="F76" s="47"/>
      <c r="G76" s="47"/>
      <c r="H76" s="47"/>
      <c r="I76" s="47"/>
      <c r="J76" s="47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3"/>
    </row>
    <row r="77" spans="2:23" x14ac:dyDescent="0.25">
      <c r="B77" s="64"/>
      <c r="C77" s="47"/>
      <c r="D77" s="47"/>
      <c r="E77" s="47"/>
      <c r="F77" s="47"/>
      <c r="G77" s="47"/>
      <c r="H77" s="47"/>
      <c r="I77" s="47"/>
      <c r="J77" s="47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3"/>
    </row>
    <row r="78" spans="2:23" x14ac:dyDescent="0.25">
      <c r="B78" s="64"/>
      <c r="C78" s="47"/>
      <c r="D78" s="47"/>
      <c r="E78" s="47"/>
      <c r="F78" s="47"/>
      <c r="G78" s="47"/>
      <c r="H78" s="47"/>
      <c r="I78" s="47"/>
      <c r="J78" s="47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3"/>
    </row>
    <row r="79" spans="2:23" x14ac:dyDescent="0.25">
      <c r="B79" s="64"/>
      <c r="C79" s="47"/>
      <c r="D79" s="47"/>
      <c r="E79" s="47"/>
      <c r="F79" s="47"/>
      <c r="G79" s="47"/>
      <c r="H79" s="47"/>
      <c r="I79" s="47"/>
      <c r="J79" s="47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3"/>
    </row>
    <row r="80" spans="2:23" x14ac:dyDescent="0.25">
      <c r="B80" s="64"/>
      <c r="C80" s="47"/>
      <c r="D80" s="47"/>
      <c r="E80" s="47"/>
      <c r="F80" s="47"/>
      <c r="G80" s="47"/>
      <c r="H80" s="47"/>
      <c r="I80" s="47"/>
      <c r="J80" s="47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3"/>
    </row>
    <row r="81" spans="2:23" x14ac:dyDescent="0.25">
      <c r="B81" s="64"/>
      <c r="C81" s="47"/>
      <c r="D81" s="47"/>
      <c r="E81" s="47"/>
      <c r="F81" s="47"/>
      <c r="G81" s="47"/>
      <c r="H81" s="47"/>
      <c r="I81" s="47"/>
      <c r="J81" s="47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3"/>
    </row>
    <row r="82" spans="2:23" x14ac:dyDescent="0.25">
      <c r="B82" s="64"/>
      <c r="C82" s="47"/>
      <c r="D82" s="47"/>
      <c r="E82" s="47"/>
      <c r="F82" s="47"/>
      <c r="G82" s="47"/>
      <c r="H82" s="47"/>
      <c r="I82" s="47"/>
      <c r="J82" s="47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3"/>
    </row>
    <row r="83" spans="2:23" x14ac:dyDescent="0.25">
      <c r="B83" s="64"/>
      <c r="C83" s="47"/>
      <c r="D83" s="47"/>
      <c r="E83" s="47"/>
      <c r="F83" s="47"/>
      <c r="G83" s="47"/>
      <c r="H83" s="47"/>
      <c r="I83" s="47"/>
      <c r="J83" s="47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3"/>
    </row>
    <row r="84" spans="2:23" x14ac:dyDescent="0.25">
      <c r="B84" s="64"/>
      <c r="C84" s="47"/>
      <c r="D84" s="47"/>
      <c r="E84" s="47"/>
      <c r="F84" s="47"/>
      <c r="G84" s="47"/>
      <c r="H84" s="47"/>
      <c r="I84" s="47"/>
      <c r="J84" s="47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3"/>
    </row>
    <row r="85" spans="2:23" x14ac:dyDescent="0.25">
      <c r="B85" s="64"/>
      <c r="C85" s="47"/>
      <c r="D85" s="47"/>
      <c r="E85" s="47"/>
      <c r="F85" s="47"/>
      <c r="G85" s="47"/>
      <c r="H85" s="47"/>
      <c r="I85" s="47"/>
      <c r="J85" s="47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3"/>
    </row>
    <row r="86" spans="2:23" x14ac:dyDescent="0.25">
      <c r="B86" s="64"/>
      <c r="C86" s="47"/>
      <c r="D86" s="47"/>
      <c r="E86" s="47"/>
      <c r="F86" s="47"/>
      <c r="G86" s="47"/>
      <c r="H86" s="47"/>
      <c r="I86" s="47"/>
      <c r="J86" s="47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3"/>
    </row>
    <row r="87" spans="2:23" x14ac:dyDescent="0.25">
      <c r="B87" s="64"/>
      <c r="C87" s="47"/>
      <c r="D87" s="47"/>
      <c r="E87" s="47"/>
      <c r="F87" s="47"/>
      <c r="G87" s="47"/>
      <c r="H87" s="47"/>
      <c r="I87" s="47"/>
      <c r="J87" s="47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3"/>
    </row>
    <row r="88" spans="2:23" x14ac:dyDescent="0.25">
      <c r="B88" s="64"/>
      <c r="C88" s="47"/>
      <c r="D88" s="47"/>
      <c r="E88" s="47"/>
      <c r="F88" s="47"/>
      <c r="G88" s="47"/>
      <c r="H88" s="47"/>
      <c r="I88" s="47"/>
      <c r="J88" s="47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3"/>
    </row>
    <row r="89" spans="2:23" x14ac:dyDescent="0.25">
      <c r="B89" s="64"/>
      <c r="C89" s="47"/>
      <c r="D89" s="47"/>
      <c r="E89" s="47"/>
      <c r="F89" s="47"/>
      <c r="G89" s="47"/>
      <c r="H89" s="47"/>
      <c r="I89" s="47"/>
      <c r="J89" s="47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3"/>
    </row>
    <row r="90" spans="2:23" x14ac:dyDescent="0.25">
      <c r="B90" s="64"/>
      <c r="C90" s="47"/>
      <c r="D90" s="47"/>
      <c r="E90" s="47"/>
      <c r="F90" s="47"/>
      <c r="G90" s="47"/>
      <c r="H90" s="47"/>
      <c r="I90" s="47"/>
      <c r="J90" s="47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3"/>
    </row>
    <row r="91" spans="2:23" x14ac:dyDescent="0.25">
      <c r="B91" s="64"/>
      <c r="C91" s="47"/>
      <c r="D91" s="47"/>
      <c r="E91" s="47"/>
      <c r="F91" s="47"/>
      <c r="G91" s="47"/>
      <c r="H91" s="47"/>
      <c r="I91" s="47"/>
      <c r="J91" s="47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3"/>
    </row>
    <row r="92" spans="2:23" x14ac:dyDescent="0.25">
      <c r="B92" s="64"/>
      <c r="C92" s="47"/>
      <c r="D92" s="47"/>
      <c r="E92" s="47"/>
      <c r="F92" s="47"/>
      <c r="G92" s="47"/>
      <c r="H92" s="47"/>
      <c r="I92" s="47"/>
      <c r="J92" s="47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3"/>
    </row>
    <row r="93" spans="2:23" x14ac:dyDescent="0.25">
      <c r="B93" s="64"/>
      <c r="C93" s="47"/>
      <c r="D93" s="47"/>
      <c r="E93" s="47"/>
      <c r="F93" s="47"/>
      <c r="G93" s="47"/>
      <c r="H93" s="47"/>
      <c r="I93" s="47"/>
      <c r="J93" s="47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3"/>
    </row>
    <row r="94" spans="2:23" x14ac:dyDescent="0.25">
      <c r="B94" s="64"/>
      <c r="C94" s="47"/>
      <c r="D94" s="47"/>
      <c r="E94" s="47"/>
      <c r="F94" s="47"/>
      <c r="G94" s="47"/>
      <c r="H94" s="47"/>
      <c r="I94" s="47"/>
      <c r="J94" s="47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3"/>
    </row>
    <row r="95" spans="2:23" ht="15.75" thickBot="1" x14ac:dyDescent="0.3">
      <c r="B95" s="65"/>
      <c r="C95" s="66"/>
      <c r="D95" s="66"/>
      <c r="E95" s="66"/>
      <c r="F95" s="66"/>
      <c r="G95" s="66"/>
      <c r="H95" s="66"/>
      <c r="I95" s="66"/>
      <c r="J95" s="66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8"/>
    </row>
    <row r="96" spans="2:23" ht="15.75" thickBot="1" x14ac:dyDescent="0.3"/>
    <row r="97" spans="2:23" x14ac:dyDescent="0.25">
      <c r="B97" s="69"/>
      <c r="C97" s="70"/>
      <c r="D97" s="70"/>
      <c r="E97" s="70"/>
      <c r="F97" s="70"/>
      <c r="G97" s="70"/>
      <c r="H97" s="70"/>
      <c r="I97" s="70"/>
      <c r="J97" s="70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60"/>
    </row>
    <row r="98" spans="2:23" x14ac:dyDescent="0.25">
      <c r="B98" s="64"/>
      <c r="C98" s="47"/>
      <c r="D98" s="47"/>
      <c r="E98" s="47"/>
      <c r="F98" s="47"/>
      <c r="G98" s="47"/>
      <c r="H98" s="47"/>
      <c r="I98" s="47"/>
      <c r="J98" s="47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3"/>
    </row>
    <row r="99" spans="2:23" x14ac:dyDescent="0.25">
      <c r="B99" s="64"/>
      <c r="C99" s="47"/>
      <c r="D99" s="47"/>
      <c r="E99" s="47"/>
      <c r="F99" s="47"/>
      <c r="G99" s="47"/>
      <c r="H99" s="47"/>
      <c r="I99" s="47"/>
      <c r="J99" s="47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3"/>
    </row>
    <row r="100" spans="2:23" x14ac:dyDescent="0.25">
      <c r="B100" s="64"/>
      <c r="C100" s="47"/>
      <c r="D100" s="47"/>
      <c r="E100" s="47"/>
      <c r="F100" s="47"/>
      <c r="G100" s="47"/>
      <c r="H100" s="47"/>
      <c r="I100" s="47"/>
      <c r="J100" s="47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3"/>
    </row>
    <row r="101" spans="2:23" x14ac:dyDescent="0.25">
      <c r="B101" s="64"/>
      <c r="C101" s="47"/>
      <c r="D101" s="47"/>
      <c r="E101" s="47"/>
      <c r="F101" s="47"/>
      <c r="G101" s="47"/>
      <c r="H101" s="47"/>
      <c r="I101" s="47"/>
      <c r="J101" s="47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3"/>
    </row>
    <row r="102" spans="2:23" x14ac:dyDescent="0.25">
      <c r="B102" s="64"/>
      <c r="C102" s="47"/>
      <c r="D102" s="47"/>
      <c r="E102" s="47"/>
      <c r="F102" s="47"/>
      <c r="G102" s="47"/>
      <c r="H102" s="47"/>
      <c r="I102" s="47"/>
      <c r="J102" s="47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3"/>
    </row>
    <row r="103" spans="2:23" x14ac:dyDescent="0.25">
      <c r="B103" s="64"/>
      <c r="C103" s="47"/>
      <c r="D103" s="47"/>
      <c r="E103" s="47"/>
      <c r="F103" s="47"/>
      <c r="G103" s="47"/>
      <c r="H103" s="47"/>
      <c r="I103" s="47"/>
      <c r="J103" s="47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3"/>
    </row>
    <row r="104" spans="2:23" x14ac:dyDescent="0.25">
      <c r="B104" s="64"/>
      <c r="C104" s="47"/>
      <c r="D104" s="47"/>
      <c r="E104" s="47"/>
      <c r="F104" s="47"/>
      <c r="G104" s="47"/>
      <c r="H104" s="47"/>
      <c r="I104" s="47"/>
      <c r="J104" s="47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3"/>
    </row>
    <row r="105" spans="2:23" x14ac:dyDescent="0.25">
      <c r="B105" s="64"/>
      <c r="C105" s="47"/>
      <c r="D105" s="47"/>
      <c r="E105" s="47"/>
      <c r="F105" s="47"/>
      <c r="G105" s="47"/>
      <c r="H105" s="47"/>
      <c r="I105" s="47"/>
      <c r="J105" s="47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3"/>
    </row>
    <row r="106" spans="2:23" x14ac:dyDescent="0.25">
      <c r="B106" s="64"/>
      <c r="C106" s="47"/>
      <c r="D106" s="47"/>
      <c r="E106" s="47"/>
      <c r="F106" s="47"/>
      <c r="G106" s="47"/>
      <c r="H106" s="47"/>
      <c r="I106" s="47"/>
      <c r="J106" s="47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3"/>
    </row>
    <row r="107" spans="2:23" x14ac:dyDescent="0.25">
      <c r="B107" s="64"/>
      <c r="C107" s="47"/>
      <c r="D107" s="47"/>
      <c r="E107" s="47"/>
      <c r="F107" s="47"/>
      <c r="G107" s="47"/>
      <c r="H107" s="47"/>
      <c r="I107" s="47"/>
      <c r="J107" s="47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3"/>
    </row>
    <row r="108" spans="2:23" x14ac:dyDescent="0.25">
      <c r="B108" s="64"/>
      <c r="C108" s="47"/>
      <c r="D108" s="47"/>
      <c r="E108" s="47"/>
      <c r="F108" s="47"/>
      <c r="G108" s="47"/>
      <c r="H108" s="47"/>
      <c r="I108" s="47"/>
      <c r="J108" s="47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3"/>
    </row>
    <row r="109" spans="2:23" x14ac:dyDescent="0.25">
      <c r="B109" s="64"/>
      <c r="C109" s="47"/>
      <c r="D109" s="47"/>
      <c r="E109" s="47"/>
      <c r="F109" s="47"/>
      <c r="G109" s="47"/>
      <c r="H109" s="47"/>
      <c r="I109" s="47"/>
      <c r="J109" s="47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3"/>
    </row>
    <row r="110" spans="2:23" x14ac:dyDescent="0.25">
      <c r="B110" s="64"/>
      <c r="C110" s="47"/>
      <c r="D110" s="47"/>
      <c r="E110" s="47"/>
      <c r="F110" s="47"/>
      <c r="G110" s="47"/>
      <c r="H110" s="47"/>
      <c r="I110" s="47"/>
      <c r="J110" s="47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3"/>
    </row>
    <row r="111" spans="2:23" x14ac:dyDescent="0.25">
      <c r="B111" s="64"/>
      <c r="C111" s="47"/>
      <c r="D111" s="47"/>
      <c r="E111" s="47"/>
      <c r="F111" s="47"/>
      <c r="G111" s="47"/>
      <c r="H111" s="47"/>
      <c r="I111" s="47"/>
      <c r="J111" s="47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3"/>
    </row>
    <row r="112" spans="2:23" x14ac:dyDescent="0.25">
      <c r="B112" s="64"/>
      <c r="C112" s="47"/>
      <c r="D112" s="47"/>
      <c r="E112" s="47"/>
      <c r="F112" s="47"/>
      <c r="G112" s="47"/>
      <c r="H112" s="47"/>
      <c r="I112" s="47"/>
      <c r="J112" s="47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3"/>
    </row>
    <row r="113" spans="2:23" x14ac:dyDescent="0.25">
      <c r="B113" s="64"/>
      <c r="C113" s="47"/>
      <c r="D113" s="47"/>
      <c r="E113" s="47"/>
      <c r="F113" s="47"/>
      <c r="G113" s="47"/>
      <c r="H113" s="47"/>
      <c r="I113" s="47"/>
      <c r="J113" s="47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3"/>
    </row>
    <row r="114" spans="2:23" x14ac:dyDescent="0.25">
      <c r="B114" s="64"/>
      <c r="C114" s="47"/>
      <c r="D114" s="47"/>
      <c r="E114" s="47"/>
      <c r="F114" s="47"/>
      <c r="G114" s="47"/>
      <c r="H114" s="47"/>
      <c r="I114" s="47"/>
      <c r="J114" s="47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3"/>
    </row>
    <row r="115" spans="2:23" x14ac:dyDescent="0.25">
      <c r="B115" s="64"/>
      <c r="C115" s="47"/>
      <c r="D115" s="47"/>
      <c r="E115" s="47"/>
      <c r="F115" s="47"/>
      <c r="G115" s="47"/>
      <c r="H115" s="47"/>
      <c r="I115" s="47"/>
      <c r="J115" s="47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3"/>
    </row>
    <row r="116" spans="2:23" x14ac:dyDescent="0.25">
      <c r="B116" s="64"/>
      <c r="C116" s="47"/>
      <c r="D116" s="47"/>
      <c r="E116" s="47"/>
      <c r="F116" s="47"/>
      <c r="G116" s="47"/>
      <c r="H116" s="47"/>
      <c r="I116" s="47"/>
      <c r="J116" s="47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3"/>
    </row>
    <row r="117" spans="2:23" x14ac:dyDescent="0.25">
      <c r="B117" s="64"/>
      <c r="C117" s="47"/>
      <c r="D117" s="47"/>
      <c r="E117" s="47"/>
      <c r="F117" s="47"/>
      <c r="G117" s="47"/>
      <c r="H117" s="47"/>
      <c r="I117" s="47"/>
      <c r="J117" s="47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3"/>
    </row>
    <row r="118" spans="2:23" x14ac:dyDescent="0.25">
      <c r="B118" s="64"/>
      <c r="C118" s="47"/>
      <c r="D118" s="47"/>
      <c r="E118" s="47"/>
      <c r="F118" s="47"/>
      <c r="G118" s="47"/>
      <c r="H118" s="47"/>
      <c r="I118" s="47"/>
      <c r="J118" s="47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3"/>
    </row>
    <row r="119" spans="2:23" x14ac:dyDescent="0.25">
      <c r="B119" s="64"/>
      <c r="C119" s="47"/>
      <c r="D119" s="47"/>
      <c r="E119" s="47"/>
      <c r="F119" s="47"/>
      <c r="G119" s="47"/>
      <c r="H119" s="47"/>
      <c r="I119" s="47"/>
      <c r="J119" s="47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3"/>
    </row>
    <row r="120" spans="2:23" x14ac:dyDescent="0.25">
      <c r="B120" s="64"/>
      <c r="C120" s="47"/>
      <c r="D120" s="47"/>
      <c r="E120" s="47"/>
      <c r="F120" s="47"/>
      <c r="G120" s="47"/>
      <c r="H120" s="47"/>
      <c r="I120" s="47"/>
      <c r="J120" s="47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3"/>
    </row>
    <row r="121" spans="2:23" x14ac:dyDescent="0.25">
      <c r="B121" s="64"/>
      <c r="C121" s="47"/>
      <c r="D121" s="47"/>
      <c r="E121" s="47"/>
      <c r="F121" s="47"/>
      <c r="G121" s="47"/>
      <c r="H121" s="47"/>
      <c r="I121" s="47"/>
      <c r="J121" s="47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3"/>
    </row>
    <row r="122" spans="2:23" x14ac:dyDescent="0.25">
      <c r="B122" s="64"/>
      <c r="C122" s="47"/>
      <c r="D122" s="47"/>
      <c r="E122" s="47"/>
      <c r="F122" s="47"/>
      <c r="G122" s="47"/>
      <c r="H122" s="47"/>
      <c r="I122" s="47"/>
      <c r="J122" s="47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3"/>
    </row>
    <row r="123" spans="2:23" x14ac:dyDescent="0.25">
      <c r="B123" s="64"/>
      <c r="C123" s="47"/>
      <c r="D123" s="47"/>
      <c r="E123" s="47"/>
      <c r="F123" s="47"/>
      <c r="G123" s="47"/>
      <c r="H123" s="47"/>
      <c r="I123" s="47"/>
      <c r="J123" s="47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3"/>
    </row>
    <row r="124" spans="2:23" x14ac:dyDescent="0.25">
      <c r="B124" s="64"/>
      <c r="C124" s="47"/>
      <c r="D124" s="47"/>
      <c r="E124" s="47"/>
      <c r="F124" s="47"/>
      <c r="G124" s="47"/>
      <c r="H124" s="47"/>
      <c r="I124" s="47"/>
      <c r="J124" s="47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3"/>
    </row>
    <row r="125" spans="2:23" x14ac:dyDescent="0.25">
      <c r="B125" s="64"/>
      <c r="C125" s="47"/>
      <c r="D125" s="47"/>
      <c r="E125" s="47"/>
      <c r="F125" s="47"/>
      <c r="G125" s="47"/>
      <c r="H125" s="47"/>
      <c r="I125" s="47"/>
      <c r="J125" s="47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3"/>
    </row>
    <row r="126" spans="2:23" x14ac:dyDescent="0.25">
      <c r="B126" s="64"/>
      <c r="C126" s="47"/>
      <c r="D126" s="47"/>
      <c r="E126" s="47"/>
      <c r="F126" s="47"/>
      <c r="G126" s="47"/>
      <c r="H126" s="47"/>
      <c r="I126" s="47"/>
      <c r="J126" s="47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3"/>
    </row>
    <row r="127" spans="2:23" ht="15.75" thickBot="1" x14ac:dyDescent="0.3">
      <c r="B127" s="65"/>
      <c r="C127" s="66"/>
      <c r="D127" s="66"/>
      <c r="E127" s="66"/>
      <c r="F127" s="66"/>
      <c r="G127" s="66"/>
      <c r="H127" s="66"/>
      <c r="I127" s="66"/>
      <c r="J127" s="66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8"/>
    </row>
    <row r="128" spans="2:23" ht="15.75" thickBot="1" x14ac:dyDescent="0.3"/>
    <row r="129" spans="2:23" x14ac:dyDescent="0.25">
      <c r="B129" s="69"/>
      <c r="C129" s="70"/>
      <c r="D129" s="70"/>
      <c r="E129" s="70"/>
      <c r="F129" s="70"/>
      <c r="G129" s="70"/>
      <c r="H129" s="70"/>
      <c r="I129" s="70"/>
      <c r="J129" s="70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60"/>
    </row>
    <row r="130" spans="2:23" x14ac:dyDescent="0.25">
      <c r="B130" s="64"/>
      <c r="C130" s="47"/>
      <c r="D130" s="47"/>
      <c r="E130" s="47"/>
      <c r="F130" s="47"/>
      <c r="G130" s="47"/>
      <c r="H130" s="47"/>
      <c r="I130" s="47"/>
      <c r="J130" s="47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3"/>
    </row>
    <row r="131" spans="2:23" x14ac:dyDescent="0.25">
      <c r="B131" s="64"/>
      <c r="C131" s="47"/>
      <c r="D131" s="47"/>
      <c r="E131" s="47"/>
      <c r="F131" s="47"/>
      <c r="G131" s="47"/>
      <c r="H131" s="47"/>
      <c r="I131" s="47"/>
      <c r="J131" s="47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3"/>
    </row>
    <row r="132" spans="2:23" x14ac:dyDescent="0.25">
      <c r="B132" s="64"/>
      <c r="C132" s="47"/>
      <c r="D132" s="47"/>
      <c r="E132" s="47"/>
      <c r="F132" s="47"/>
      <c r="G132" s="47"/>
      <c r="H132" s="47"/>
      <c r="I132" s="47"/>
      <c r="J132" s="47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3"/>
    </row>
    <row r="133" spans="2:23" x14ac:dyDescent="0.25">
      <c r="B133" s="64"/>
      <c r="C133" s="47"/>
      <c r="D133" s="47"/>
      <c r="E133" s="47"/>
      <c r="F133" s="47"/>
      <c r="G133" s="47"/>
      <c r="H133" s="47"/>
      <c r="I133" s="47"/>
      <c r="J133" s="47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3"/>
    </row>
    <row r="134" spans="2:23" x14ac:dyDescent="0.25">
      <c r="B134" s="64"/>
      <c r="C134" s="47"/>
      <c r="D134" s="47"/>
      <c r="E134" s="47"/>
      <c r="F134" s="47"/>
      <c r="G134" s="47"/>
      <c r="H134" s="47"/>
      <c r="I134" s="47"/>
      <c r="J134" s="47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3"/>
    </row>
    <row r="135" spans="2:23" x14ac:dyDescent="0.25">
      <c r="B135" s="64"/>
      <c r="C135" s="47"/>
      <c r="D135" s="47"/>
      <c r="E135" s="47"/>
      <c r="F135" s="47"/>
      <c r="G135" s="47"/>
      <c r="H135" s="47"/>
      <c r="I135" s="47"/>
      <c r="J135" s="47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3"/>
    </row>
    <row r="136" spans="2:23" x14ac:dyDescent="0.25">
      <c r="B136" s="64"/>
      <c r="C136" s="47"/>
      <c r="D136" s="47"/>
      <c r="E136" s="47"/>
      <c r="F136" s="47"/>
      <c r="G136" s="47"/>
      <c r="H136" s="47"/>
      <c r="I136" s="47"/>
      <c r="J136" s="47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3"/>
    </row>
    <row r="137" spans="2:23" x14ac:dyDescent="0.25">
      <c r="B137" s="64"/>
      <c r="C137" s="47"/>
      <c r="D137" s="47"/>
      <c r="E137" s="47"/>
      <c r="F137" s="47"/>
      <c r="G137" s="47"/>
      <c r="H137" s="47"/>
      <c r="I137" s="47"/>
      <c r="J137" s="47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3"/>
    </row>
    <row r="138" spans="2:23" x14ac:dyDescent="0.25">
      <c r="B138" s="64"/>
      <c r="C138" s="47"/>
      <c r="D138" s="47"/>
      <c r="E138" s="47"/>
      <c r="F138" s="47"/>
      <c r="G138" s="47"/>
      <c r="H138" s="47"/>
      <c r="I138" s="47"/>
      <c r="J138" s="47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3"/>
    </row>
    <row r="139" spans="2:23" x14ac:dyDescent="0.25">
      <c r="B139" s="64"/>
      <c r="C139" s="47"/>
      <c r="D139" s="47"/>
      <c r="E139" s="47"/>
      <c r="F139" s="47"/>
      <c r="G139" s="47"/>
      <c r="H139" s="47"/>
      <c r="I139" s="47"/>
      <c r="J139" s="47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3"/>
    </row>
    <row r="140" spans="2:23" x14ac:dyDescent="0.25">
      <c r="B140" s="64"/>
      <c r="C140" s="47"/>
      <c r="D140" s="47"/>
      <c r="E140" s="47"/>
      <c r="F140" s="47"/>
      <c r="G140" s="47"/>
      <c r="H140" s="47"/>
      <c r="I140" s="47"/>
      <c r="J140" s="47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3"/>
    </row>
    <row r="141" spans="2:23" x14ac:dyDescent="0.25">
      <c r="B141" s="64"/>
      <c r="C141" s="47"/>
      <c r="D141" s="47"/>
      <c r="E141" s="47"/>
      <c r="F141" s="47"/>
      <c r="G141" s="47"/>
      <c r="H141" s="47"/>
      <c r="I141" s="47"/>
      <c r="J141" s="47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3"/>
    </row>
    <row r="142" spans="2:23" x14ac:dyDescent="0.25">
      <c r="B142" s="64"/>
      <c r="C142" s="47"/>
      <c r="D142" s="47"/>
      <c r="E142" s="47"/>
      <c r="F142" s="47"/>
      <c r="G142" s="47"/>
      <c r="H142" s="47"/>
      <c r="I142" s="47"/>
      <c r="J142" s="47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3"/>
    </row>
    <row r="143" spans="2:23" x14ac:dyDescent="0.25">
      <c r="B143" s="64"/>
      <c r="C143" s="47"/>
      <c r="D143" s="47"/>
      <c r="E143" s="47"/>
      <c r="F143" s="47"/>
      <c r="G143" s="47"/>
      <c r="H143" s="47"/>
      <c r="I143" s="47"/>
      <c r="J143" s="47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3"/>
    </row>
    <row r="144" spans="2:23" x14ac:dyDescent="0.25">
      <c r="B144" s="64"/>
      <c r="C144" s="47"/>
      <c r="D144" s="47"/>
      <c r="E144" s="47"/>
      <c r="F144" s="47"/>
      <c r="G144" s="47"/>
      <c r="H144" s="47"/>
      <c r="I144" s="47"/>
      <c r="J144" s="47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3"/>
    </row>
    <row r="145" spans="2:23" x14ac:dyDescent="0.25">
      <c r="B145" s="64"/>
      <c r="C145" s="47"/>
      <c r="D145" s="47"/>
      <c r="E145" s="47"/>
      <c r="F145" s="47"/>
      <c r="G145" s="47"/>
      <c r="H145" s="47"/>
      <c r="I145" s="47"/>
      <c r="J145" s="47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3"/>
    </row>
    <row r="146" spans="2:23" x14ac:dyDescent="0.25">
      <c r="B146" s="64"/>
      <c r="C146" s="47"/>
      <c r="D146" s="47"/>
      <c r="E146" s="47"/>
      <c r="F146" s="47"/>
      <c r="G146" s="47"/>
      <c r="H146" s="47"/>
      <c r="I146" s="47"/>
      <c r="J146" s="47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3"/>
    </row>
    <row r="147" spans="2:23" x14ac:dyDescent="0.25">
      <c r="B147" s="64"/>
      <c r="C147" s="47"/>
      <c r="D147" s="47"/>
      <c r="E147" s="47"/>
      <c r="F147" s="47"/>
      <c r="G147" s="47"/>
      <c r="H147" s="47"/>
      <c r="I147" s="47"/>
      <c r="J147" s="47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3"/>
    </row>
    <row r="148" spans="2:23" x14ac:dyDescent="0.25">
      <c r="B148" s="64"/>
      <c r="C148" s="47"/>
      <c r="D148" s="47"/>
      <c r="E148" s="47"/>
      <c r="F148" s="47"/>
      <c r="G148" s="47"/>
      <c r="H148" s="47"/>
      <c r="I148" s="47"/>
      <c r="J148" s="47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3"/>
    </row>
    <row r="149" spans="2:23" x14ac:dyDescent="0.25">
      <c r="B149" s="64"/>
      <c r="C149" s="47"/>
      <c r="D149" s="47"/>
      <c r="E149" s="47"/>
      <c r="F149" s="47"/>
      <c r="G149" s="47"/>
      <c r="H149" s="47"/>
      <c r="I149" s="47"/>
      <c r="J149" s="47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3"/>
    </row>
    <row r="150" spans="2:23" x14ac:dyDescent="0.25">
      <c r="B150" s="64"/>
      <c r="C150" s="47"/>
      <c r="D150" s="47"/>
      <c r="E150" s="47"/>
      <c r="F150" s="47"/>
      <c r="G150" s="47"/>
      <c r="H150" s="47"/>
      <c r="I150" s="47"/>
      <c r="J150" s="47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3"/>
    </row>
    <row r="151" spans="2:23" x14ac:dyDescent="0.25">
      <c r="B151" s="64"/>
      <c r="C151" s="47"/>
      <c r="D151" s="47"/>
      <c r="E151" s="47"/>
      <c r="F151" s="47"/>
      <c r="G151" s="47"/>
      <c r="H151" s="47"/>
      <c r="I151" s="47"/>
      <c r="J151" s="47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3"/>
    </row>
    <row r="152" spans="2:23" x14ac:dyDescent="0.25">
      <c r="B152" s="64"/>
      <c r="C152" s="47"/>
      <c r="D152" s="47"/>
      <c r="E152" s="47"/>
      <c r="F152" s="47"/>
      <c r="G152" s="47"/>
      <c r="H152" s="47"/>
      <c r="I152" s="47"/>
      <c r="J152" s="47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3"/>
    </row>
    <row r="153" spans="2:23" x14ac:dyDescent="0.25">
      <c r="B153" s="64"/>
      <c r="C153" s="47"/>
      <c r="D153" s="47"/>
      <c r="E153" s="47"/>
      <c r="F153" s="47"/>
      <c r="G153" s="47"/>
      <c r="H153" s="47"/>
      <c r="I153" s="47"/>
      <c r="J153" s="47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3"/>
    </row>
    <row r="154" spans="2:23" x14ac:dyDescent="0.25">
      <c r="B154" s="64"/>
      <c r="C154" s="47"/>
      <c r="D154" s="47"/>
      <c r="E154" s="47"/>
      <c r="F154" s="47"/>
      <c r="G154" s="47"/>
      <c r="H154" s="47"/>
      <c r="I154" s="47"/>
      <c r="J154" s="47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3"/>
    </row>
    <row r="155" spans="2:23" x14ac:dyDescent="0.25">
      <c r="B155" s="64"/>
      <c r="C155" s="47"/>
      <c r="D155" s="47"/>
      <c r="E155" s="47"/>
      <c r="F155" s="47"/>
      <c r="G155" s="47"/>
      <c r="H155" s="47"/>
      <c r="I155" s="47"/>
      <c r="J155" s="47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3"/>
    </row>
    <row r="156" spans="2:23" x14ac:dyDescent="0.25">
      <c r="B156" s="64"/>
      <c r="C156" s="47"/>
      <c r="D156" s="47"/>
      <c r="E156" s="47"/>
      <c r="F156" s="47"/>
      <c r="G156" s="47"/>
      <c r="H156" s="47"/>
      <c r="I156" s="47"/>
      <c r="J156" s="47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3"/>
    </row>
    <row r="157" spans="2:23" x14ac:dyDescent="0.25">
      <c r="B157" s="64"/>
      <c r="C157" s="47"/>
      <c r="D157" s="47"/>
      <c r="E157" s="47"/>
      <c r="F157" s="47"/>
      <c r="G157" s="47"/>
      <c r="H157" s="47"/>
      <c r="I157" s="47"/>
      <c r="J157" s="47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3"/>
    </row>
    <row r="158" spans="2:23" x14ac:dyDescent="0.25">
      <c r="B158" s="64"/>
      <c r="C158" s="47"/>
      <c r="D158" s="47"/>
      <c r="E158" s="47"/>
      <c r="F158" s="47"/>
      <c r="G158" s="47"/>
      <c r="H158" s="47"/>
      <c r="I158" s="47"/>
      <c r="J158" s="47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3"/>
    </row>
    <row r="159" spans="2:23" ht="15.75" thickBot="1" x14ac:dyDescent="0.3">
      <c r="B159" s="65"/>
      <c r="C159" s="66"/>
      <c r="D159" s="66"/>
      <c r="E159" s="66"/>
      <c r="F159" s="66"/>
      <c r="G159" s="66"/>
      <c r="H159" s="66"/>
      <c r="I159" s="66"/>
      <c r="J159" s="66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8"/>
    </row>
    <row r="160" spans="2:23" ht="15.75" thickBot="1" x14ac:dyDescent="0.3"/>
    <row r="161" spans="2:23" x14ac:dyDescent="0.25">
      <c r="B161" s="69"/>
      <c r="C161" s="70"/>
      <c r="D161" s="70"/>
      <c r="E161" s="70"/>
      <c r="F161" s="70"/>
      <c r="G161" s="70"/>
      <c r="H161" s="70"/>
      <c r="I161" s="70"/>
      <c r="J161" s="70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60"/>
    </row>
    <row r="162" spans="2:23" x14ac:dyDescent="0.25">
      <c r="B162" s="64"/>
      <c r="C162" s="47"/>
      <c r="D162" s="47"/>
      <c r="E162" s="47"/>
      <c r="F162" s="47"/>
      <c r="G162" s="47"/>
      <c r="H162" s="47"/>
      <c r="I162" s="47"/>
      <c r="J162" s="47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3"/>
    </row>
    <row r="163" spans="2:23" x14ac:dyDescent="0.25">
      <c r="B163" s="64"/>
      <c r="C163" s="47"/>
      <c r="D163" s="47"/>
      <c r="E163" s="47"/>
      <c r="F163" s="47"/>
      <c r="G163" s="47"/>
      <c r="H163" s="47"/>
      <c r="I163" s="47"/>
      <c r="J163" s="47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3"/>
    </row>
    <row r="164" spans="2:23" x14ac:dyDescent="0.25">
      <c r="B164" s="64"/>
      <c r="C164" s="47"/>
      <c r="D164" s="47"/>
      <c r="E164" s="47"/>
      <c r="F164" s="47"/>
      <c r="G164" s="47"/>
      <c r="H164" s="47"/>
      <c r="I164" s="47"/>
      <c r="J164" s="47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3"/>
    </row>
    <row r="165" spans="2:23" x14ac:dyDescent="0.25">
      <c r="B165" s="64"/>
      <c r="C165" s="47"/>
      <c r="D165" s="47"/>
      <c r="E165" s="47"/>
      <c r="F165" s="47"/>
      <c r="G165" s="47"/>
      <c r="H165" s="47"/>
      <c r="I165" s="47"/>
      <c r="J165" s="47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3"/>
    </row>
    <row r="166" spans="2:23" x14ac:dyDescent="0.25">
      <c r="B166" s="64"/>
      <c r="C166" s="47"/>
      <c r="D166" s="47"/>
      <c r="E166" s="47"/>
      <c r="F166" s="47"/>
      <c r="G166" s="47"/>
      <c r="H166" s="47"/>
      <c r="I166" s="47"/>
      <c r="J166" s="47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3"/>
    </row>
    <row r="167" spans="2:23" x14ac:dyDescent="0.25">
      <c r="B167" s="64"/>
      <c r="C167" s="47"/>
      <c r="D167" s="47"/>
      <c r="E167" s="47"/>
      <c r="F167" s="47"/>
      <c r="G167" s="47"/>
      <c r="H167" s="47"/>
      <c r="I167" s="47"/>
      <c r="J167" s="47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3"/>
    </row>
    <row r="168" spans="2:23" x14ac:dyDescent="0.25">
      <c r="B168" s="64"/>
      <c r="C168" s="47"/>
      <c r="D168" s="47"/>
      <c r="E168" s="47"/>
      <c r="F168" s="47"/>
      <c r="G168" s="47"/>
      <c r="H168" s="47"/>
      <c r="I168" s="47"/>
      <c r="J168" s="47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3"/>
    </row>
    <row r="169" spans="2:23" x14ac:dyDescent="0.25">
      <c r="B169" s="64"/>
      <c r="C169" s="47"/>
      <c r="D169" s="47"/>
      <c r="E169" s="47"/>
      <c r="F169" s="47"/>
      <c r="G169" s="47"/>
      <c r="H169" s="47"/>
      <c r="I169" s="47"/>
      <c r="J169" s="47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3"/>
    </row>
    <row r="170" spans="2:23" x14ac:dyDescent="0.25">
      <c r="B170" s="64"/>
      <c r="C170" s="47"/>
      <c r="D170" s="47"/>
      <c r="E170" s="47"/>
      <c r="F170" s="47"/>
      <c r="G170" s="47"/>
      <c r="H170" s="47"/>
      <c r="I170" s="47"/>
      <c r="J170" s="47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3"/>
    </row>
    <row r="171" spans="2:23" x14ac:dyDescent="0.25">
      <c r="B171" s="64"/>
      <c r="C171" s="47"/>
      <c r="D171" s="47"/>
      <c r="E171" s="47"/>
      <c r="F171" s="47"/>
      <c r="G171" s="47"/>
      <c r="H171" s="47"/>
      <c r="I171" s="47"/>
      <c r="J171" s="47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3"/>
    </row>
    <row r="172" spans="2:23" x14ac:dyDescent="0.25">
      <c r="B172" s="64"/>
      <c r="C172" s="47"/>
      <c r="D172" s="47"/>
      <c r="E172" s="47"/>
      <c r="F172" s="47"/>
      <c r="G172" s="47"/>
      <c r="H172" s="47"/>
      <c r="I172" s="47"/>
      <c r="J172" s="47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3"/>
    </row>
    <row r="173" spans="2:23" x14ac:dyDescent="0.25">
      <c r="B173" s="64"/>
      <c r="C173" s="47"/>
      <c r="D173" s="47"/>
      <c r="E173" s="47"/>
      <c r="F173" s="47"/>
      <c r="G173" s="47"/>
      <c r="H173" s="47"/>
      <c r="I173" s="47"/>
      <c r="J173" s="47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3"/>
    </row>
    <row r="174" spans="2:23" x14ac:dyDescent="0.25">
      <c r="B174" s="64"/>
      <c r="C174" s="47"/>
      <c r="D174" s="47"/>
      <c r="E174" s="47"/>
      <c r="F174" s="47"/>
      <c r="G174" s="47"/>
      <c r="H174" s="47"/>
      <c r="I174" s="47"/>
      <c r="J174" s="47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3"/>
    </row>
    <row r="175" spans="2:23" x14ac:dyDescent="0.25">
      <c r="B175" s="64"/>
      <c r="C175" s="47"/>
      <c r="D175" s="47"/>
      <c r="E175" s="47"/>
      <c r="F175" s="47"/>
      <c r="G175" s="47"/>
      <c r="H175" s="47"/>
      <c r="I175" s="47"/>
      <c r="J175" s="47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3"/>
    </row>
    <row r="176" spans="2:23" x14ac:dyDescent="0.25">
      <c r="B176" s="64"/>
      <c r="C176" s="47"/>
      <c r="D176" s="47"/>
      <c r="E176" s="47"/>
      <c r="F176" s="47"/>
      <c r="G176" s="47"/>
      <c r="H176" s="47"/>
      <c r="I176" s="47"/>
      <c r="J176" s="47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3"/>
    </row>
    <row r="177" spans="2:23" x14ac:dyDescent="0.25">
      <c r="B177" s="64"/>
      <c r="C177" s="47"/>
      <c r="D177" s="47"/>
      <c r="E177" s="47"/>
      <c r="F177" s="47"/>
      <c r="G177" s="47"/>
      <c r="H177" s="47"/>
      <c r="I177" s="47"/>
      <c r="J177" s="47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3"/>
    </row>
    <row r="178" spans="2:23" x14ac:dyDescent="0.25">
      <c r="B178" s="64"/>
      <c r="C178" s="47"/>
      <c r="D178" s="47"/>
      <c r="E178" s="47"/>
      <c r="F178" s="47"/>
      <c r="G178" s="47"/>
      <c r="H178" s="47"/>
      <c r="I178" s="47"/>
      <c r="J178" s="47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3"/>
    </row>
    <row r="179" spans="2:23" x14ac:dyDescent="0.25">
      <c r="B179" s="64"/>
      <c r="C179" s="47"/>
      <c r="D179" s="47"/>
      <c r="E179" s="47"/>
      <c r="F179" s="47"/>
      <c r="G179" s="47"/>
      <c r="H179" s="47"/>
      <c r="I179" s="47"/>
      <c r="J179" s="47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3"/>
    </row>
    <row r="180" spans="2:23" x14ac:dyDescent="0.25">
      <c r="B180" s="64"/>
      <c r="C180" s="47"/>
      <c r="D180" s="47"/>
      <c r="E180" s="47"/>
      <c r="F180" s="47"/>
      <c r="G180" s="47"/>
      <c r="H180" s="47"/>
      <c r="I180" s="47"/>
      <c r="J180" s="47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3"/>
    </row>
    <row r="181" spans="2:23" x14ac:dyDescent="0.25">
      <c r="B181" s="64"/>
      <c r="C181" s="47"/>
      <c r="D181" s="47"/>
      <c r="E181" s="47"/>
      <c r="F181" s="47"/>
      <c r="G181" s="47"/>
      <c r="H181" s="47"/>
      <c r="I181" s="47"/>
      <c r="J181" s="47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3"/>
    </row>
    <row r="182" spans="2:23" x14ac:dyDescent="0.25">
      <c r="B182" s="64"/>
      <c r="C182" s="47"/>
      <c r="D182" s="47"/>
      <c r="E182" s="47"/>
      <c r="F182" s="47"/>
      <c r="G182" s="47"/>
      <c r="H182" s="47"/>
      <c r="I182" s="47"/>
      <c r="J182" s="47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3"/>
    </row>
    <row r="183" spans="2:23" x14ac:dyDescent="0.25">
      <c r="B183" s="64"/>
      <c r="C183" s="47"/>
      <c r="D183" s="47"/>
      <c r="E183" s="47"/>
      <c r="F183" s="47"/>
      <c r="G183" s="47"/>
      <c r="H183" s="47"/>
      <c r="I183" s="47"/>
      <c r="J183" s="47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3"/>
    </row>
    <row r="184" spans="2:23" x14ac:dyDescent="0.25">
      <c r="B184" s="64"/>
      <c r="C184" s="47"/>
      <c r="D184" s="47"/>
      <c r="E184" s="47"/>
      <c r="F184" s="47"/>
      <c r="G184" s="47"/>
      <c r="H184" s="47"/>
      <c r="I184" s="47"/>
      <c r="J184" s="47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3"/>
    </row>
    <row r="185" spans="2:23" x14ac:dyDescent="0.25">
      <c r="B185" s="64"/>
      <c r="C185" s="47"/>
      <c r="D185" s="47"/>
      <c r="E185" s="47"/>
      <c r="F185" s="47"/>
      <c r="G185" s="47"/>
      <c r="H185" s="47"/>
      <c r="I185" s="47"/>
      <c r="J185" s="47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3"/>
    </row>
    <row r="186" spans="2:23" x14ac:dyDescent="0.25">
      <c r="B186" s="64"/>
      <c r="C186" s="47"/>
      <c r="D186" s="47"/>
      <c r="E186" s="47"/>
      <c r="F186" s="47"/>
      <c r="G186" s="47"/>
      <c r="H186" s="47"/>
      <c r="I186" s="47"/>
      <c r="J186" s="47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3"/>
    </row>
    <row r="187" spans="2:23" x14ac:dyDescent="0.25">
      <c r="B187" s="64"/>
      <c r="C187" s="47"/>
      <c r="D187" s="47"/>
      <c r="E187" s="47"/>
      <c r="F187" s="47"/>
      <c r="G187" s="47"/>
      <c r="H187" s="47"/>
      <c r="I187" s="47"/>
      <c r="J187" s="47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3"/>
    </row>
    <row r="188" spans="2:23" x14ac:dyDescent="0.25">
      <c r="B188" s="64"/>
      <c r="C188" s="47"/>
      <c r="D188" s="47"/>
      <c r="E188" s="47"/>
      <c r="F188" s="47"/>
      <c r="G188" s="47"/>
      <c r="H188" s="47"/>
      <c r="I188" s="47"/>
      <c r="J188" s="47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3"/>
    </row>
    <row r="189" spans="2:23" x14ac:dyDescent="0.25">
      <c r="B189" s="64"/>
      <c r="C189" s="47"/>
      <c r="D189" s="47"/>
      <c r="E189" s="47"/>
      <c r="F189" s="47"/>
      <c r="G189" s="47"/>
      <c r="H189" s="47"/>
      <c r="I189" s="47"/>
      <c r="J189" s="47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3"/>
    </row>
    <row r="190" spans="2:23" x14ac:dyDescent="0.25">
      <c r="B190" s="64"/>
      <c r="C190" s="47"/>
      <c r="D190" s="47"/>
      <c r="E190" s="47"/>
      <c r="F190" s="47"/>
      <c r="G190" s="47"/>
      <c r="H190" s="47"/>
      <c r="I190" s="47"/>
      <c r="J190" s="47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3"/>
    </row>
    <row r="191" spans="2:23" ht="15.75" thickBot="1" x14ac:dyDescent="0.3">
      <c r="B191" s="65"/>
      <c r="C191" s="66"/>
      <c r="D191" s="66"/>
      <c r="E191" s="66"/>
      <c r="F191" s="66"/>
      <c r="G191" s="66"/>
      <c r="H191" s="66"/>
      <c r="I191" s="66"/>
      <c r="J191" s="66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8"/>
    </row>
    <row r="193" spans="2:24" x14ac:dyDescent="0.25">
      <c r="B193" s="46"/>
      <c r="C193" s="47"/>
      <c r="D193" s="47"/>
      <c r="E193" s="47"/>
      <c r="F193" s="47"/>
      <c r="G193" s="47"/>
      <c r="H193" s="47"/>
      <c r="I193" s="47"/>
      <c r="J193" s="47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</row>
    <row r="194" spans="2:24" x14ac:dyDescent="0.25">
      <c r="B194" s="46"/>
      <c r="C194" s="47"/>
      <c r="D194" s="47"/>
      <c r="E194" s="47"/>
      <c r="F194" s="47"/>
      <c r="G194" s="47"/>
      <c r="H194" s="47"/>
      <c r="I194" s="47"/>
      <c r="J194" s="47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</row>
    <row r="195" spans="2:24" x14ac:dyDescent="0.25">
      <c r="B195" s="46"/>
      <c r="C195" s="47"/>
      <c r="D195" s="47"/>
      <c r="E195" s="47"/>
      <c r="F195" s="47"/>
      <c r="G195" s="47"/>
      <c r="H195" s="47"/>
      <c r="I195" s="47"/>
      <c r="J195" s="47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</row>
    <row r="196" spans="2:24" x14ac:dyDescent="0.25">
      <c r="B196" s="46"/>
      <c r="C196" s="47"/>
      <c r="D196" s="47"/>
      <c r="E196" s="47"/>
      <c r="F196" s="47"/>
      <c r="G196" s="47"/>
      <c r="H196" s="47"/>
      <c r="I196" s="47"/>
      <c r="J196" s="47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</row>
    <row r="197" spans="2:24" x14ac:dyDescent="0.25">
      <c r="B197" s="46"/>
      <c r="C197" s="47"/>
      <c r="D197" s="47"/>
      <c r="E197" s="47"/>
      <c r="F197" s="47"/>
      <c r="G197" s="47"/>
      <c r="H197" s="47"/>
      <c r="I197" s="47"/>
      <c r="J197" s="47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</row>
    <row r="198" spans="2:24" x14ac:dyDescent="0.25">
      <c r="B198" s="46"/>
      <c r="C198" s="47"/>
      <c r="D198" s="47"/>
      <c r="E198" s="47"/>
      <c r="F198" s="47"/>
      <c r="G198" s="47"/>
      <c r="H198" s="47"/>
      <c r="I198" s="47"/>
      <c r="J198" s="47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</row>
    <row r="199" spans="2:24" x14ac:dyDescent="0.25">
      <c r="B199" s="46"/>
      <c r="C199" s="47"/>
      <c r="D199" s="47"/>
      <c r="E199" s="47"/>
      <c r="F199" s="47"/>
      <c r="G199" s="47"/>
      <c r="H199" s="47"/>
      <c r="I199" s="47"/>
      <c r="J199" s="47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</row>
    <row r="200" spans="2:24" x14ac:dyDescent="0.25">
      <c r="B200" s="46"/>
      <c r="C200" s="47"/>
      <c r="D200" s="47"/>
      <c r="E200" s="47"/>
      <c r="F200" s="47"/>
      <c r="G200" s="47"/>
      <c r="H200" s="47"/>
      <c r="I200" s="47"/>
      <c r="J200" s="47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</row>
    <row r="201" spans="2:24" x14ac:dyDescent="0.25">
      <c r="B201" s="46"/>
      <c r="C201" s="47"/>
      <c r="D201" s="47"/>
      <c r="E201" s="47"/>
      <c r="F201" s="47"/>
      <c r="G201" s="47"/>
      <c r="H201" s="47"/>
      <c r="I201" s="47"/>
      <c r="J201" s="47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</row>
    <row r="202" spans="2:24" x14ac:dyDescent="0.25">
      <c r="B202" s="46"/>
      <c r="C202" s="47"/>
      <c r="D202" s="47"/>
      <c r="E202" s="47"/>
      <c r="F202" s="47"/>
      <c r="G202" s="47"/>
      <c r="H202" s="47"/>
      <c r="I202" s="47"/>
      <c r="J202" s="47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</row>
    <row r="203" spans="2:24" x14ac:dyDescent="0.25">
      <c r="B203" s="46"/>
      <c r="C203" s="47"/>
      <c r="D203" s="47"/>
      <c r="E203" s="47"/>
      <c r="F203" s="47"/>
      <c r="G203" s="47"/>
      <c r="H203" s="47"/>
      <c r="I203" s="47"/>
      <c r="J203" s="47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</row>
    <row r="204" spans="2:24" x14ac:dyDescent="0.25">
      <c r="B204" s="46"/>
      <c r="C204" s="47"/>
      <c r="D204" s="47"/>
      <c r="E204" s="47"/>
      <c r="F204" s="47"/>
      <c r="G204" s="47"/>
      <c r="H204" s="47"/>
      <c r="I204" s="47"/>
      <c r="J204" s="47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</row>
    <row r="205" spans="2:24" x14ac:dyDescent="0.25">
      <c r="B205" s="46"/>
      <c r="C205" s="47"/>
      <c r="D205" s="47"/>
      <c r="E205" s="47"/>
      <c r="F205" s="47"/>
      <c r="G205" s="47"/>
      <c r="H205" s="47"/>
      <c r="I205" s="47"/>
      <c r="J205" s="47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</row>
    <row r="206" spans="2:24" x14ac:dyDescent="0.25">
      <c r="B206" s="46"/>
      <c r="C206" s="47"/>
      <c r="D206" s="47"/>
      <c r="E206" s="47"/>
      <c r="F206" s="47"/>
      <c r="G206" s="47"/>
      <c r="H206" s="47"/>
      <c r="I206" s="47"/>
      <c r="J206" s="47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</row>
    <row r="207" spans="2:24" x14ac:dyDescent="0.25">
      <c r="B207" s="46"/>
      <c r="C207" s="47"/>
      <c r="D207" s="47"/>
      <c r="E207" s="47"/>
      <c r="F207" s="47"/>
      <c r="G207" s="47"/>
      <c r="H207" s="47"/>
      <c r="I207" s="47"/>
      <c r="J207" s="47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</row>
    <row r="208" spans="2:24" x14ac:dyDescent="0.25">
      <c r="B208" s="46"/>
      <c r="C208" s="47"/>
      <c r="D208" s="47"/>
      <c r="E208" s="47"/>
      <c r="F208" s="47"/>
      <c r="G208" s="47"/>
      <c r="H208" s="47"/>
      <c r="I208" s="47"/>
      <c r="J208" s="47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</row>
    <row r="209" spans="2:24" x14ac:dyDescent="0.25">
      <c r="B209" s="46"/>
      <c r="C209" s="47"/>
      <c r="D209" s="47"/>
      <c r="E209" s="47"/>
      <c r="F209" s="47"/>
      <c r="G209" s="47"/>
      <c r="H209" s="47"/>
      <c r="I209" s="47"/>
      <c r="J209" s="47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</row>
    <row r="210" spans="2:24" x14ac:dyDescent="0.25">
      <c r="B210" s="46"/>
      <c r="C210" s="47"/>
      <c r="D210" s="47"/>
      <c r="E210" s="47"/>
      <c r="F210" s="47"/>
      <c r="G210" s="47"/>
      <c r="H210" s="47"/>
      <c r="I210" s="47"/>
      <c r="J210" s="47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</row>
    <row r="211" spans="2:24" x14ac:dyDescent="0.25">
      <c r="B211" s="46"/>
      <c r="C211" s="47"/>
      <c r="D211" s="47"/>
      <c r="E211" s="47"/>
      <c r="F211" s="47"/>
      <c r="G211" s="47"/>
      <c r="H211" s="47"/>
      <c r="I211" s="47"/>
      <c r="J211" s="47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</row>
    <row r="212" spans="2:24" x14ac:dyDescent="0.25">
      <c r="B212" s="46"/>
      <c r="C212" s="47"/>
      <c r="D212" s="47"/>
      <c r="E212" s="47"/>
      <c r="F212" s="47"/>
      <c r="G212" s="47"/>
      <c r="H212" s="47"/>
      <c r="I212" s="47"/>
      <c r="J212" s="47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</row>
    <row r="213" spans="2:24" x14ac:dyDescent="0.25">
      <c r="B213" s="46"/>
      <c r="C213" s="47"/>
      <c r="D213" s="47"/>
      <c r="E213" s="47"/>
      <c r="F213" s="47"/>
      <c r="G213" s="47"/>
      <c r="H213" s="47"/>
      <c r="I213" s="47"/>
      <c r="J213" s="47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</row>
    <row r="214" spans="2:24" x14ac:dyDescent="0.25">
      <c r="B214" s="46"/>
      <c r="C214" s="47"/>
      <c r="D214" s="47"/>
      <c r="E214" s="47"/>
      <c r="F214" s="47"/>
      <c r="G214" s="47"/>
      <c r="H214" s="47"/>
      <c r="I214" s="47"/>
      <c r="J214" s="47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</row>
    <row r="215" spans="2:24" x14ac:dyDescent="0.25">
      <c r="B215" s="46"/>
      <c r="C215" s="47"/>
      <c r="D215" s="47"/>
      <c r="E215" s="47"/>
      <c r="F215" s="47"/>
      <c r="G215" s="47"/>
      <c r="H215" s="47"/>
      <c r="I215" s="47"/>
      <c r="J215" s="47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</row>
    <row r="216" spans="2:24" x14ac:dyDescent="0.25">
      <c r="B216" s="46"/>
      <c r="C216" s="47"/>
      <c r="D216" s="47"/>
      <c r="E216" s="47"/>
      <c r="F216" s="47"/>
      <c r="G216" s="47"/>
      <c r="H216" s="47"/>
      <c r="I216" s="47"/>
      <c r="J216" s="47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</row>
    <row r="217" spans="2:24" x14ac:dyDescent="0.25">
      <c r="B217" s="46"/>
      <c r="C217" s="47"/>
      <c r="D217" s="47"/>
      <c r="E217" s="47"/>
      <c r="F217" s="47"/>
      <c r="G217" s="47"/>
      <c r="H217" s="47"/>
      <c r="I217" s="47"/>
      <c r="J217" s="47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</row>
    <row r="218" spans="2:24" x14ac:dyDescent="0.25">
      <c r="B218" s="46"/>
      <c r="C218" s="47"/>
      <c r="D218" s="47"/>
      <c r="E218" s="47"/>
      <c r="F218" s="47"/>
      <c r="G218" s="47"/>
      <c r="H218" s="47"/>
      <c r="I218" s="47"/>
      <c r="J218" s="47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</row>
    <row r="219" spans="2:24" x14ac:dyDescent="0.25">
      <c r="B219" s="46"/>
      <c r="C219" s="47"/>
      <c r="D219" s="47"/>
      <c r="E219" s="47"/>
      <c r="F219" s="47"/>
      <c r="G219" s="47"/>
      <c r="H219" s="47"/>
      <c r="I219" s="47"/>
      <c r="J219" s="47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</row>
    <row r="220" spans="2:24" x14ac:dyDescent="0.25">
      <c r="B220" s="46"/>
      <c r="C220" s="47"/>
      <c r="D220" s="47"/>
      <c r="E220" s="47"/>
      <c r="F220" s="47"/>
      <c r="G220" s="47"/>
      <c r="H220" s="47"/>
      <c r="I220" s="47"/>
      <c r="J220" s="47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</row>
    <row r="221" spans="2:24" x14ac:dyDescent="0.25">
      <c r="B221" s="46"/>
      <c r="C221" s="47"/>
      <c r="D221" s="47"/>
      <c r="E221" s="47"/>
      <c r="F221" s="47"/>
      <c r="G221" s="47"/>
      <c r="H221" s="47"/>
      <c r="I221" s="47"/>
      <c r="J221" s="47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</row>
    <row r="222" spans="2:24" x14ac:dyDescent="0.25">
      <c r="B222" s="46"/>
      <c r="C222" s="47"/>
      <c r="D222" s="47"/>
      <c r="E222" s="47"/>
      <c r="F222" s="47"/>
      <c r="G222" s="47"/>
      <c r="H222" s="47"/>
      <c r="I222" s="47"/>
      <c r="J222" s="47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</row>
    <row r="223" spans="2:24" x14ac:dyDescent="0.25">
      <c r="B223" s="46"/>
      <c r="C223" s="47"/>
      <c r="D223" s="47"/>
      <c r="E223" s="47"/>
      <c r="F223" s="47"/>
      <c r="G223" s="47"/>
      <c r="H223" s="47"/>
      <c r="I223" s="47"/>
      <c r="J223" s="47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</row>
    <row r="224" spans="2:24" x14ac:dyDescent="0.25">
      <c r="B224" s="46"/>
      <c r="C224" s="47"/>
      <c r="D224" s="47"/>
      <c r="E224" s="47"/>
      <c r="F224" s="47"/>
      <c r="G224" s="47"/>
      <c r="H224" s="47"/>
      <c r="I224" s="47"/>
      <c r="J224" s="47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</row>
    <row r="225" spans="2:24" x14ac:dyDescent="0.25">
      <c r="B225" s="46"/>
      <c r="C225" s="47"/>
      <c r="D225" s="47"/>
      <c r="E225" s="47"/>
      <c r="F225" s="47"/>
      <c r="G225" s="47"/>
      <c r="H225" s="47"/>
      <c r="I225" s="47"/>
      <c r="J225" s="47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</row>
    <row r="226" spans="2:24" x14ac:dyDescent="0.25">
      <c r="B226" s="46"/>
      <c r="C226" s="47"/>
      <c r="D226" s="47"/>
      <c r="E226" s="47"/>
      <c r="F226" s="47"/>
      <c r="G226" s="47"/>
      <c r="H226" s="47"/>
      <c r="I226" s="47"/>
      <c r="J226" s="47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</row>
    <row r="227" spans="2:24" x14ac:dyDescent="0.25">
      <c r="B227" s="46"/>
      <c r="C227" s="47"/>
      <c r="D227" s="47"/>
      <c r="E227" s="47"/>
      <c r="F227" s="47"/>
      <c r="G227" s="47"/>
      <c r="H227" s="47"/>
      <c r="I227" s="47"/>
      <c r="J227" s="47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</row>
    <row r="228" spans="2:24" x14ac:dyDescent="0.25">
      <c r="B228" s="46"/>
      <c r="C228" s="47"/>
      <c r="D228" s="47"/>
      <c r="E228" s="47"/>
      <c r="F228" s="47"/>
      <c r="G228" s="47"/>
      <c r="H228" s="47"/>
      <c r="I228" s="47"/>
      <c r="J228" s="47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</row>
    <row r="229" spans="2:24" x14ac:dyDescent="0.25">
      <c r="B229" s="46"/>
      <c r="C229" s="47"/>
      <c r="D229" s="47"/>
      <c r="E229" s="47"/>
      <c r="F229" s="47"/>
      <c r="G229" s="47"/>
      <c r="H229" s="47"/>
      <c r="I229" s="47"/>
      <c r="J229" s="47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</row>
    <row r="230" spans="2:24" x14ac:dyDescent="0.25">
      <c r="B230" s="46"/>
      <c r="C230" s="47"/>
      <c r="D230" s="47"/>
      <c r="E230" s="47"/>
      <c r="F230" s="47"/>
      <c r="G230" s="47"/>
      <c r="H230" s="47"/>
      <c r="I230" s="47"/>
      <c r="J230" s="47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</row>
    <row r="231" spans="2:24" x14ac:dyDescent="0.25">
      <c r="B231" s="46"/>
      <c r="C231" s="47"/>
      <c r="D231" s="47"/>
      <c r="E231" s="47"/>
      <c r="F231" s="47"/>
      <c r="G231" s="47"/>
      <c r="H231" s="47"/>
      <c r="I231" s="47"/>
      <c r="J231" s="47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</row>
    <row r="232" spans="2:24" x14ac:dyDescent="0.25">
      <c r="B232" s="46"/>
      <c r="C232" s="47"/>
      <c r="D232" s="47"/>
      <c r="E232" s="47"/>
      <c r="F232" s="47"/>
      <c r="G232" s="47"/>
      <c r="H232" s="47"/>
      <c r="I232" s="47"/>
      <c r="J232" s="47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</row>
    <row r="233" spans="2:24" x14ac:dyDescent="0.25">
      <c r="B233" s="46"/>
      <c r="C233" s="47"/>
      <c r="D233" s="47"/>
      <c r="E233" s="47"/>
      <c r="F233" s="47"/>
      <c r="G233" s="47"/>
      <c r="H233" s="47"/>
      <c r="I233" s="47"/>
      <c r="J233" s="47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</row>
    <row r="234" spans="2:24" x14ac:dyDescent="0.25">
      <c r="B234" s="46"/>
      <c r="C234" s="47"/>
      <c r="D234" s="47"/>
      <c r="E234" s="47"/>
      <c r="F234" s="47"/>
      <c r="G234" s="47"/>
      <c r="H234" s="47"/>
      <c r="I234" s="47"/>
      <c r="J234" s="47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</row>
    <row r="235" spans="2:24" x14ac:dyDescent="0.25">
      <c r="B235" s="46"/>
      <c r="C235" s="47"/>
      <c r="D235" s="47"/>
      <c r="E235" s="47"/>
      <c r="F235" s="47"/>
      <c r="G235" s="47"/>
      <c r="H235" s="47"/>
      <c r="I235" s="47"/>
      <c r="J235" s="47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</row>
    <row r="236" spans="2:24" x14ac:dyDescent="0.25">
      <c r="B236" s="46"/>
      <c r="C236" s="47"/>
      <c r="D236" s="47"/>
      <c r="E236" s="47"/>
      <c r="F236" s="47"/>
      <c r="G236" s="47"/>
      <c r="H236" s="47"/>
      <c r="I236" s="47"/>
      <c r="J236" s="47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</row>
    <row r="237" spans="2:24" x14ac:dyDescent="0.25">
      <c r="B237" s="46"/>
      <c r="C237" s="47"/>
      <c r="D237" s="47"/>
      <c r="E237" s="47"/>
      <c r="F237" s="47"/>
      <c r="G237" s="47"/>
      <c r="H237" s="47"/>
      <c r="I237" s="47"/>
      <c r="J237" s="47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</row>
    <row r="238" spans="2:24" x14ac:dyDescent="0.25">
      <c r="B238" s="46"/>
      <c r="C238" s="47"/>
      <c r="D238" s="47"/>
      <c r="E238" s="47"/>
      <c r="F238" s="47"/>
      <c r="G238" s="47"/>
      <c r="H238" s="47"/>
      <c r="I238" s="47"/>
      <c r="J238" s="47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</row>
    <row r="239" spans="2:24" x14ac:dyDescent="0.25">
      <c r="B239" s="46"/>
      <c r="C239" s="47"/>
      <c r="D239" s="47"/>
      <c r="E239" s="47"/>
      <c r="F239" s="47"/>
      <c r="G239" s="47"/>
      <c r="H239" s="47"/>
      <c r="I239" s="47"/>
      <c r="J239" s="47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</row>
    <row r="240" spans="2:24" x14ac:dyDescent="0.25">
      <c r="B240" s="46"/>
      <c r="C240" s="47"/>
      <c r="D240" s="47"/>
      <c r="E240" s="47"/>
      <c r="F240" s="47"/>
      <c r="G240" s="47"/>
      <c r="H240" s="47"/>
      <c r="I240" s="47"/>
      <c r="J240" s="47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</row>
    <row r="241" spans="2:24" x14ac:dyDescent="0.25">
      <c r="B241" s="46"/>
      <c r="C241" s="47"/>
      <c r="D241" s="47"/>
      <c r="E241" s="47"/>
      <c r="F241" s="47"/>
      <c r="G241" s="47"/>
      <c r="H241" s="47"/>
      <c r="I241" s="47"/>
      <c r="J241" s="47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</row>
    <row r="242" spans="2:24" x14ac:dyDescent="0.25">
      <c r="B242" s="46"/>
      <c r="C242" s="47"/>
      <c r="D242" s="47"/>
      <c r="E242" s="47"/>
      <c r="F242" s="47"/>
      <c r="G242" s="47"/>
      <c r="H242" s="47"/>
      <c r="I242" s="47"/>
      <c r="J242" s="47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</row>
    <row r="243" spans="2:24" x14ac:dyDescent="0.25">
      <c r="B243" s="46"/>
      <c r="C243" s="47"/>
      <c r="D243" s="47"/>
      <c r="E243" s="47"/>
      <c r="F243" s="47"/>
      <c r="G243" s="47"/>
      <c r="H243" s="47"/>
      <c r="I243" s="47"/>
      <c r="J243" s="47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</row>
    <row r="244" spans="2:24" x14ac:dyDescent="0.25">
      <c r="B244" s="46"/>
      <c r="C244" s="47"/>
      <c r="D244" s="47"/>
      <c r="E244" s="47"/>
      <c r="F244" s="47"/>
      <c r="G244" s="47"/>
      <c r="H244" s="47"/>
      <c r="I244" s="47"/>
      <c r="J244" s="47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</row>
    <row r="245" spans="2:24" x14ac:dyDescent="0.25">
      <c r="B245" s="46"/>
      <c r="C245" s="47"/>
      <c r="D245" s="47"/>
      <c r="E245" s="47"/>
      <c r="F245" s="47"/>
      <c r="G245" s="47"/>
      <c r="H245" s="47"/>
      <c r="I245" s="47"/>
      <c r="J245" s="47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</row>
    <row r="246" spans="2:24" x14ac:dyDescent="0.25">
      <c r="B246" s="46"/>
      <c r="C246" s="47"/>
      <c r="D246" s="47"/>
      <c r="E246" s="47"/>
      <c r="F246" s="47"/>
      <c r="G246" s="47"/>
      <c r="H246" s="47"/>
      <c r="I246" s="47"/>
      <c r="J246" s="47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</row>
    <row r="247" spans="2:24" x14ac:dyDescent="0.25">
      <c r="B247" s="46"/>
      <c r="C247" s="47"/>
      <c r="D247" s="47"/>
      <c r="E247" s="47"/>
      <c r="F247" s="47"/>
      <c r="G247" s="47"/>
      <c r="H247" s="47"/>
      <c r="I247" s="47"/>
      <c r="J247" s="47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</row>
    <row r="248" spans="2:24" x14ac:dyDescent="0.25">
      <c r="B248" s="46"/>
      <c r="C248" s="47"/>
      <c r="D248" s="47"/>
      <c r="E248" s="47"/>
      <c r="F248" s="47"/>
      <c r="G248" s="47"/>
      <c r="H248" s="47"/>
      <c r="I248" s="47"/>
      <c r="J248" s="47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</row>
    <row r="249" spans="2:24" x14ac:dyDescent="0.25">
      <c r="B249" s="46"/>
      <c r="C249" s="47"/>
      <c r="D249" s="47"/>
      <c r="E249" s="47"/>
      <c r="F249" s="47"/>
      <c r="G249" s="47"/>
      <c r="H249" s="47"/>
      <c r="I249" s="47"/>
      <c r="J249" s="47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</row>
    <row r="250" spans="2:24" x14ac:dyDescent="0.25">
      <c r="B250" s="46"/>
      <c r="C250" s="47"/>
      <c r="D250" s="47"/>
      <c r="E250" s="47"/>
      <c r="F250" s="47"/>
      <c r="G250" s="47"/>
      <c r="H250" s="47"/>
      <c r="I250" s="47"/>
      <c r="J250" s="47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</row>
    <row r="251" spans="2:24" x14ac:dyDescent="0.25">
      <c r="B251" s="46"/>
      <c r="C251" s="47"/>
      <c r="D251" s="47"/>
      <c r="E251" s="47"/>
      <c r="F251" s="47"/>
      <c r="G251" s="47"/>
      <c r="H251" s="47"/>
      <c r="I251" s="47"/>
      <c r="J251" s="47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</row>
    <row r="252" spans="2:24" x14ac:dyDescent="0.25">
      <c r="B252" s="46"/>
      <c r="C252" s="47"/>
      <c r="D252" s="47"/>
      <c r="E252" s="47"/>
      <c r="F252" s="47"/>
      <c r="G252" s="47"/>
      <c r="H252" s="47"/>
      <c r="I252" s="47"/>
      <c r="J252" s="47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</row>
    <row r="253" spans="2:24" x14ac:dyDescent="0.25">
      <c r="B253" s="46"/>
      <c r="C253" s="47"/>
      <c r="D253" s="47"/>
      <c r="E253" s="47"/>
      <c r="F253" s="47"/>
      <c r="G253" s="47"/>
      <c r="H253" s="47"/>
      <c r="I253" s="47"/>
      <c r="J253" s="47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</row>
    <row r="254" spans="2:24" x14ac:dyDescent="0.25">
      <c r="B254" s="46"/>
      <c r="C254" s="47"/>
      <c r="D254" s="47"/>
      <c r="E254" s="47"/>
      <c r="F254" s="47"/>
      <c r="G254" s="47"/>
      <c r="H254" s="47"/>
      <c r="I254" s="47"/>
      <c r="J254" s="47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</row>
    <row r="255" spans="2:24" x14ac:dyDescent="0.25">
      <c r="B255" s="46"/>
      <c r="C255" s="47"/>
      <c r="D255" s="47"/>
      <c r="E255" s="47"/>
      <c r="F255" s="47"/>
      <c r="G255" s="47"/>
      <c r="H255" s="47"/>
      <c r="I255" s="47"/>
      <c r="J255" s="47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</row>
    <row r="256" spans="2:24" x14ac:dyDescent="0.25">
      <c r="B256" s="46"/>
      <c r="C256" s="47"/>
      <c r="D256" s="47"/>
      <c r="E256" s="47"/>
      <c r="F256" s="47"/>
      <c r="G256" s="47"/>
      <c r="H256" s="47"/>
      <c r="I256" s="47"/>
      <c r="J256" s="47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</row>
    <row r="257" spans="2:24" x14ac:dyDescent="0.25">
      <c r="B257" s="46"/>
      <c r="C257" s="47"/>
      <c r="D257" s="47"/>
      <c r="E257" s="47"/>
      <c r="F257" s="47"/>
      <c r="G257" s="47"/>
      <c r="H257" s="47"/>
      <c r="I257" s="47"/>
      <c r="J257" s="47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</row>
    <row r="258" spans="2:24" x14ac:dyDescent="0.25">
      <c r="B258" s="46"/>
      <c r="C258" s="47"/>
      <c r="D258" s="47"/>
      <c r="E258" s="47"/>
      <c r="F258" s="47"/>
      <c r="G258" s="47"/>
      <c r="H258" s="47"/>
      <c r="I258" s="47"/>
      <c r="J258" s="47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</row>
    <row r="259" spans="2:24" x14ac:dyDescent="0.25">
      <c r="B259" s="46"/>
      <c r="C259" s="47"/>
      <c r="D259" s="47"/>
      <c r="E259" s="47"/>
      <c r="F259" s="47"/>
      <c r="G259" s="47"/>
      <c r="H259" s="47"/>
      <c r="I259" s="47"/>
      <c r="J259" s="47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</row>
    <row r="260" spans="2:24" x14ac:dyDescent="0.25">
      <c r="B260" s="46"/>
      <c r="C260" s="47"/>
      <c r="D260" s="47"/>
      <c r="E260" s="47"/>
      <c r="F260" s="47"/>
      <c r="G260" s="47"/>
      <c r="H260" s="47"/>
      <c r="I260" s="47"/>
      <c r="J260" s="47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</row>
    <row r="261" spans="2:24" x14ac:dyDescent="0.25">
      <c r="B261" s="46"/>
      <c r="C261" s="47"/>
      <c r="D261" s="47"/>
      <c r="E261" s="47"/>
      <c r="F261" s="47"/>
      <c r="G261" s="47"/>
      <c r="H261" s="47"/>
      <c r="I261" s="47"/>
      <c r="J261" s="47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</row>
    <row r="262" spans="2:24" x14ac:dyDescent="0.25">
      <c r="B262" s="46"/>
      <c r="C262" s="47"/>
      <c r="D262" s="47"/>
      <c r="E262" s="47"/>
      <c r="F262" s="47"/>
      <c r="G262" s="47"/>
      <c r="H262" s="47"/>
      <c r="I262" s="47"/>
      <c r="J262" s="47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</row>
    <row r="263" spans="2:24" x14ac:dyDescent="0.25">
      <c r="B263" s="46"/>
      <c r="C263" s="47"/>
      <c r="D263" s="47"/>
      <c r="E263" s="47"/>
      <c r="F263" s="47"/>
      <c r="G263" s="47"/>
      <c r="H263" s="47"/>
      <c r="I263" s="47"/>
      <c r="J263" s="47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</row>
    <row r="264" spans="2:24" x14ac:dyDescent="0.25">
      <c r="B264" s="46"/>
      <c r="C264" s="47"/>
      <c r="D264" s="47"/>
      <c r="E264" s="47"/>
      <c r="F264" s="47"/>
      <c r="G264" s="47"/>
      <c r="H264" s="47"/>
      <c r="I264" s="47"/>
      <c r="J264" s="47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</row>
    <row r="265" spans="2:24" x14ac:dyDescent="0.25">
      <c r="B265" s="46"/>
      <c r="C265" s="47"/>
      <c r="D265" s="47"/>
      <c r="E265" s="47"/>
      <c r="F265" s="47"/>
      <c r="G265" s="47"/>
      <c r="H265" s="47"/>
      <c r="I265" s="47"/>
      <c r="J265" s="47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</row>
    <row r="266" spans="2:24" x14ac:dyDescent="0.25">
      <c r="B266" s="46"/>
      <c r="C266" s="47"/>
      <c r="D266" s="47"/>
      <c r="E266" s="47"/>
      <c r="F266" s="47"/>
      <c r="G266" s="47"/>
      <c r="H266" s="47"/>
      <c r="I266" s="47"/>
      <c r="J266" s="47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</row>
    <row r="267" spans="2:24" x14ac:dyDescent="0.25">
      <c r="B267" s="46"/>
      <c r="C267" s="47"/>
      <c r="D267" s="47"/>
      <c r="E267" s="47"/>
      <c r="F267" s="47"/>
      <c r="G267" s="47"/>
      <c r="H267" s="47"/>
      <c r="I267" s="47"/>
      <c r="J267" s="47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</row>
    <row r="268" spans="2:24" x14ac:dyDescent="0.25">
      <c r="B268" s="46"/>
      <c r="C268" s="47"/>
      <c r="D268" s="47"/>
      <c r="E268" s="47"/>
      <c r="F268" s="47"/>
      <c r="G268" s="47"/>
      <c r="H268" s="47"/>
      <c r="I268" s="47"/>
      <c r="J268" s="47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</row>
    <row r="269" spans="2:24" x14ac:dyDescent="0.25">
      <c r="B269" s="46"/>
      <c r="C269" s="47"/>
      <c r="D269" s="47"/>
      <c r="E269" s="47"/>
      <c r="F269" s="47"/>
      <c r="G269" s="47"/>
      <c r="H269" s="47"/>
      <c r="I269" s="47"/>
      <c r="J269" s="47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</row>
    <row r="270" spans="2:24" x14ac:dyDescent="0.25">
      <c r="B270" s="46"/>
      <c r="C270" s="47"/>
      <c r="D270" s="47"/>
      <c r="E270" s="47"/>
      <c r="F270" s="47"/>
      <c r="G270" s="47"/>
      <c r="H270" s="47"/>
      <c r="I270" s="47"/>
      <c r="J270" s="47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</row>
    <row r="271" spans="2:24" x14ac:dyDescent="0.25">
      <c r="B271" s="46"/>
      <c r="C271" s="47"/>
      <c r="D271" s="47"/>
      <c r="E271" s="47"/>
      <c r="F271" s="47"/>
      <c r="G271" s="47"/>
      <c r="H271" s="47"/>
      <c r="I271" s="47"/>
      <c r="J271" s="47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</row>
    <row r="272" spans="2:24" x14ac:dyDescent="0.25">
      <c r="B272" s="46"/>
      <c r="C272" s="47"/>
      <c r="D272" s="47"/>
      <c r="E272" s="47"/>
      <c r="F272" s="47"/>
      <c r="G272" s="47"/>
      <c r="H272" s="47"/>
      <c r="I272" s="47"/>
      <c r="J272" s="47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</row>
    <row r="273" spans="2:24" x14ac:dyDescent="0.25">
      <c r="B273" s="46"/>
      <c r="C273" s="47"/>
      <c r="D273" s="47"/>
      <c r="E273" s="47"/>
      <c r="F273" s="47"/>
      <c r="G273" s="47"/>
      <c r="H273" s="47"/>
      <c r="I273" s="47"/>
      <c r="J273" s="47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</row>
    <row r="274" spans="2:24" x14ac:dyDescent="0.25">
      <c r="B274" s="46"/>
      <c r="C274" s="47"/>
      <c r="D274" s="47"/>
      <c r="E274" s="47"/>
      <c r="F274" s="47"/>
      <c r="G274" s="47"/>
      <c r="H274" s="47"/>
      <c r="I274" s="47"/>
      <c r="J274" s="47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</row>
    <row r="275" spans="2:24" x14ac:dyDescent="0.25">
      <c r="B275" s="46"/>
      <c r="C275" s="47"/>
      <c r="D275" s="47"/>
      <c r="E275" s="47"/>
      <c r="F275" s="47"/>
      <c r="G275" s="47"/>
      <c r="H275" s="47"/>
      <c r="I275" s="47"/>
      <c r="J275" s="47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</row>
    <row r="276" spans="2:24" x14ac:dyDescent="0.25">
      <c r="B276" s="46"/>
      <c r="C276" s="47"/>
      <c r="D276" s="47"/>
      <c r="E276" s="47"/>
      <c r="F276" s="47"/>
      <c r="G276" s="47"/>
      <c r="H276" s="47"/>
      <c r="I276" s="47"/>
      <c r="J276" s="47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</row>
    <row r="277" spans="2:24" x14ac:dyDescent="0.25">
      <c r="B277" s="46"/>
      <c r="C277" s="47"/>
      <c r="D277" s="47"/>
      <c r="E277" s="47"/>
      <c r="F277" s="47"/>
      <c r="G277" s="47"/>
      <c r="H277" s="47"/>
      <c r="I277" s="47"/>
      <c r="J277" s="47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</row>
    <row r="278" spans="2:24" x14ac:dyDescent="0.25">
      <c r="B278" s="46"/>
      <c r="C278" s="47"/>
      <c r="D278" s="47"/>
      <c r="E278" s="47"/>
      <c r="F278" s="47"/>
      <c r="G278" s="47"/>
      <c r="H278" s="47"/>
      <c r="I278" s="47"/>
      <c r="J278" s="47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</row>
    <row r="279" spans="2:24" x14ac:dyDescent="0.25">
      <c r="B279" s="46"/>
      <c r="C279" s="47"/>
      <c r="D279" s="47"/>
      <c r="E279" s="47"/>
      <c r="F279" s="47"/>
      <c r="G279" s="47"/>
      <c r="H279" s="47"/>
      <c r="I279" s="47"/>
      <c r="J279" s="47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</row>
    <row r="280" spans="2:24" x14ac:dyDescent="0.25">
      <c r="B280" s="46"/>
      <c r="C280" s="47"/>
      <c r="D280" s="47"/>
      <c r="E280" s="47"/>
      <c r="F280" s="47"/>
      <c r="G280" s="47"/>
      <c r="H280" s="47"/>
      <c r="I280" s="47"/>
      <c r="J280" s="47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</row>
    <row r="281" spans="2:24" x14ac:dyDescent="0.25">
      <c r="B281" s="46"/>
      <c r="C281" s="47"/>
      <c r="D281" s="47"/>
      <c r="E281" s="47"/>
      <c r="F281" s="47"/>
      <c r="G281" s="47"/>
      <c r="H281" s="47"/>
      <c r="I281" s="47"/>
      <c r="J281" s="47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</row>
    <row r="282" spans="2:24" x14ac:dyDescent="0.25">
      <c r="B282" s="46"/>
      <c r="C282" s="47"/>
      <c r="D282" s="47"/>
      <c r="E282" s="47"/>
      <c r="F282" s="47"/>
      <c r="G282" s="47"/>
      <c r="H282" s="47"/>
      <c r="I282" s="47"/>
      <c r="J282" s="47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</row>
    <row r="283" spans="2:24" x14ac:dyDescent="0.25">
      <c r="B283" s="46"/>
      <c r="C283" s="47"/>
      <c r="D283" s="47"/>
      <c r="E283" s="47"/>
      <c r="F283" s="47"/>
      <c r="G283" s="47"/>
      <c r="H283" s="47"/>
      <c r="I283" s="47"/>
      <c r="J283" s="47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</row>
    <row r="284" spans="2:24" x14ac:dyDescent="0.25">
      <c r="B284" s="46"/>
      <c r="C284" s="47"/>
      <c r="D284" s="47"/>
      <c r="E284" s="47"/>
      <c r="F284" s="47"/>
      <c r="G284" s="47"/>
      <c r="H284" s="47"/>
      <c r="I284" s="47"/>
      <c r="J284" s="47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</row>
    <row r="285" spans="2:24" x14ac:dyDescent="0.25">
      <c r="B285" s="46"/>
      <c r="C285" s="47"/>
      <c r="D285" s="47"/>
      <c r="E285" s="47"/>
      <c r="F285" s="47"/>
      <c r="G285" s="47"/>
      <c r="H285" s="47"/>
      <c r="I285" s="47"/>
      <c r="J285" s="47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</row>
    <row r="286" spans="2:24" x14ac:dyDescent="0.25">
      <c r="B286" s="46"/>
      <c r="C286" s="47"/>
      <c r="D286" s="47"/>
      <c r="E286" s="47"/>
      <c r="F286" s="47"/>
      <c r="G286" s="47"/>
      <c r="H286" s="47"/>
      <c r="I286" s="47"/>
      <c r="J286" s="47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</row>
    <row r="287" spans="2:24" x14ac:dyDescent="0.25">
      <c r="B287" s="46"/>
      <c r="C287" s="47"/>
      <c r="D287" s="47"/>
      <c r="E287" s="47"/>
      <c r="F287" s="47"/>
      <c r="G287" s="47"/>
      <c r="H287" s="47"/>
      <c r="I287" s="47"/>
      <c r="J287" s="47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</row>
    <row r="288" spans="2:24" x14ac:dyDescent="0.25">
      <c r="B288" s="46"/>
      <c r="C288" s="47"/>
      <c r="D288" s="47"/>
      <c r="E288" s="47"/>
      <c r="F288" s="47"/>
      <c r="G288" s="47"/>
      <c r="H288" s="47"/>
      <c r="I288" s="47"/>
      <c r="J288" s="47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</row>
    <row r="289" spans="2:24" x14ac:dyDescent="0.25">
      <c r="B289" s="46"/>
      <c r="C289" s="47"/>
      <c r="D289" s="47"/>
      <c r="E289" s="47"/>
      <c r="F289" s="47"/>
      <c r="G289" s="47"/>
      <c r="H289" s="47"/>
      <c r="I289" s="47"/>
      <c r="J289" s="47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</row>
  </sheetData>
  <mergeCells count="18">
    <mergeCell ref="B2:B3"/>
    <mergeCell ref="C2:C3"/>
    <mergeCell ref="D2:D3"/>
    <mergeCell ref="E2:E3"/>
    <mergeCell ref="F2:F3"/>
    <mergeCell ref="B30:B31"/>
    <mergeCell ref="C30:C31"/>
    <mergeCell ref="D30:D31"/>
    <mergeCell ref="E30:E31"/>
    <mergeCell ref="F30:F31"/>
    <mergeCell ref="I30:I31"/>
    <mergeCell ref="J30:J31"/>
    <mergeCell ref="G2:G3"/>
    <mergeCell ref="I2:I3"/>
    <mergeCell ref="J2:J3"/>
    <mergeCell ref="H30:H31"/>
    <mergeCell ref="G30:G31"/>
    <mergeCell ref="H2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3"/>
  <sheetViews>
    <sheetView showGridLines="0" topLeftCell="A13" workbookViewId="0">
      <selection activeCell="H16" sqref="H15:H17"/>
    </sheetView>
  </sheetViews>
  <sheetFormatPr defaultRowHeight="15" x14ac:dyDescent="0.25"/>
  <cols>
    <col min="1" max="1" width="2.42578125" customWidth="1"/>
    <col min="2" max="2" width="14.7109375" style="15" customWidth="1"/>
    <col min="3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17" ht="15.75" thickBot="1" x14ac:dyDescent="0.3">
      <c r="I1" s="56"/>
    </row>
    <row r="2" spans="1:17" ht="15" customHeight="1" x14ac:dyDescent="0.25">
      <c r="B2" s="164" t="s">
        <v>22</v>
      </c>
      <c r="C2" s="144" t="s">
        <v>72</v>
      </c>
      <c r="D2" s="144" t="s">
        <v>85</v>
      </c>
      <c r="E2" s="144" t="s">
        <v>70</v>
      </c>
      <c r="F2" s="146" t="s">
        <v>23</v>
      </c>
      <c r="G2" s="185"/>
      <c r="H2" s="185"/>
      <c r="I2" s="185"/>
      <c r="J2" s="185"/>
    </row>
    <row r="3" spans="1:17" ht="15.75" customHeight="1" thickBot="1" x14ac:dyDescent="0.3">
      <c r="B3" s="165"/>
      <c r="C3" s="145"/>
      <c r="D3" s="145"/>
      <c r="E3" s="145"/>
      <c r="F3" s="147"/>
      <c r="G3" s="185"/>
      <c r="H3" s="185"/>
      <c r="I3" s="185"/>
      <c r="J3" s="185"/>
    </row>
    <row r="4" spans="1:17" x14ac:dyDescent="0.25">
      <c r="A4" s="50"/>
      <c r="B4" s="86">
        <v>43466</v>
      </c>
      <c r="C4" s="45">
        <f>SUMIFS('Raw Data'!$I$5:$I$500,'Raw Data'!$F$5:$F$500,"&gt;="&amp;$B4,'Raw Data'!$F$5:$F$500,"&lt;="&amp;EOMONTH($B4,0))</f>
        <v>216300.60378542537</v>
      </c>
      <c r="D4" s="55">
        <f>COUNTIFS('Raw Data'!$F$5:$F$500,"&gt;="&amp;$B4,'Raw Data'!$F$5:$F$500,"&lt;="&amp;EOMONTH($B4,0))</f>
        <v>18</v>
      </c>
      <c r="E4" s="45">
        <f>SUMIFS('Raw Data'!$I$5:$I$500,'Raw Data'!$F$5:$F$500,"&gt;="&amp;$B4,'Raw Data'!$F$5:$F$500,"&lt;="&amp;EOMONTH($B4,0))/COUNTIFS('Raw Data'!$F$5:$F$500,"&gt;="&amp;$B4,'Raw Data'!$F$5:$F$500,"&lt;="&amp;EOMONTH($B4,0))</f>
        <v>12016.700210301409</v>
      </c>
      <c r="F4" s="88">
        <f>SUMIFS('Raw Data'!$K$5:$K$500,'Raw Data'!$F$5:$F$500,"&gt;="&amp;$B4,'Raw Data'!$F$5:$F$500,"&lt;="&amp;EOMONTH($B4,0))/COUNTIFS('Raw Data'!$F$5:$F$500,"&gt;="&amp;$B4,'Raw Data'!$F$5:$F$500,"&lt;="&amp;EOMONTH($B4,0))</f>
        <v>0.49154296048593366</v>
      </c>
      <c r="G4" s="73"/>
      <c r="H4" s="72"/>
      <c r="I4" s="72"/>
      <c r="J4" s="72"/>
    </row>
    <row r="5" spans="1:17" x14ac:dyDescent="0.25">
      <c r="A5" s="50"/>
      <c r="B5" s="85">
        <v>43497</v>
      </c>
      <c r="C5" s="44">
        <f>SUMIFS('Raw Data'!$I$5:$I$500,'Raw Data'!$F$5:$F$500,"&gt;="&amp;$B5,'Raw Data'!$F$5:$F$500,"&lt;="&amp;EOMONTH($B5,0))</f>
        <v>449181.66907508922</v>
      </c>
      <c r="D5" s="55">
        <f>COUNTIFS('Raw Data'!$F$5:$F$500,"&gt;="&amp;$B5,'Raw Data'!$F$5:$F$500,"&lt;="&amp;EOMONTH($B5,0))</f>
        <v>30</v>
      </c>
      <c r="E5" s="45">
        <f>SUMIFS('Raw Data'!$I$5:$I$500,'Raw Data'!$F$5:$F$500,"&gt;="&amp;$B5,'Raw Data'!$F$5:$F$500,"&lt;="&amp;EOMONTH($B5,0))/COUNTIFS('Raw Data'!$F$5:$F$500,"&gt;="&amp;$B5,'Raw Data'!$F$5:$F$500,"&lt;="&amp;EOMONTH($B5,0))</f>
        <v>14972.722302502974</v>
      </c>
      <c r="F5" s="88">
        <f>SUMIFS('Raw Data'!$K$5:$K$500,'Raw Data'!$F$5:$F$500,"&gt;="&amp;$B5,'Raw Data'!$F$5:$F$500,"&lt;="&amp;EOMONTH($B5,0))/COUNTIFS('Raw Data'!$F$5:$F$500,"&gt;="&amp;$B5,'Raw Data'!$F$5:$F$500,"&lt;="&amp;EOMONTH($B5,0))</f>
        <v>0.49067347074369583</v>
      </c>
      <c r="G5" s="73"/>
      <c r="H5" s="72"/>
      <c r="I5" s="72"/>
      <c r="J5" s="72"/>
    </row>
    <row r="6" spans="1:17" x14ac:dyDescent="0.25">
      <c r="A6" s="50"/>
      <c r="B6" s="85">
        <v>43525</v>
      </c>
      <c r="C6" s="44">
        <f>SUMIFS('Raw Data'!$I$5:$I$500,'Raw Data'!$F$5:$F$500,"&gt;="&amp;$B6,'Raw Data'!$F$5:$F$500,"&lt;="&amp;EOMONTH($B6,0))</f>
        <v>242355.35138326802</v>
      </c>
      <c r="D6" s="55">
        <f>COUNTIFS('Raw Data'!$F$5:$F$500,"&gt;="&amp;$B6,'Raw Data'!$F$5:$F$500,"&lt;="&amp;EOMONTH($B6,0))</f>
        <v>22</v>
      </c>
      <c r="E6" s="45">
        <f>SUMIFS('Raw Data'!$I$5:$I$500,'Raw Data'!$F$5:$F$500,"&gt;="&amp;$B6,'Raw Data'!$F$5:$F$500,"&lt;="&amp;EOMONTH($B6,0))/COUNTIFS('Raw Data'!$F$5:$F$500,"&gt;="&amp;$B6,'Raw Data'!$F$5:$F$500,"&lt;="&amp;EOMONTH($B6,0))</f>
        <v>11016.152335603092</v>
      </c>
      <c r="F6" s="88">
        <f>SUMIFS('Raw Data'!$K$5:$K$500,'Raw Data'!$F$5:$F$500,"&gt;="&amp;$B6,'Raw Data'!$F$5:$F$500,"&lt;="&amp;EOMONTH($B6,0))/COUNTIFS('Raw Data'!$F$5:$F$500,"&gt;="&amp;$B6,'Raw Data'!$F$5:$F$500,"&lt;="&amp;EOMONTH($B6,0))</f>
        <v>0.5273724950975951</v>
      </c>
      <c r="G6" s="73"/>
      <c r="H6" s="72"/>
      <c r="I6" s="72"/>
      <c r="J6" s="72"/>
      <c r="M6" s="104"/>
    </row>
    <row r="7" spans="1:17" x14ac:dyDescent="0.25">
      <c r="A7" s="50"/>
      <c r="B7" s="86">
        <v>43556</v>
      </c>
      <c r="C7" s="44">
        <f>SUMIFS('Raw Data'!$I$5:$I$500,'Raw Data'!$F$5:$F$500,"&gt;="&amp;$B7,'Raw Data'!$F$5:$F$500,"&lt;="&amp;EOMONTH($B7,0))</f>
        <v>388800.65826187719</v>
      </c>
      <c r="D7" s="55">
        <f>COUNTIFS('Raw Data'!$F$5:$F$500,"&gt;="&amp;$B7,'Raw Data'!$F$5:$F$500,"&lt;="&amp;EOMONTH($B7,0))</f>
        <v>29</v>
      </c>
      <c r="E7" s="45">
        <f>SUMIFS('Raw Data'!$I$5:$I$500,'Raw Data'!$F$5:$F$500,"&gt;="&amp;$B7,'Raw Data'!$F$5:$F$500,"&lt;="&amp;EOMONTH($B7,0))/COUNTIFS('Raw Data'!$F$5:$F$500,"&gt;="&amp;$B7,'Raw Data'!$F$5:$F$500,"&lt;="&amp;EOMONTH($B7,0))</f>
        <v>13406.919250409559</v>
      </c>
      <c r="F7" s="88">
        <f>SUMIFS('Raw Data'!$K$5:$K$500,'Raw Data'!$F$5:$F$500,"&gt;="&amp;$B7,'Raw Data'!$F$5:$F$500,"&lt;="&amp;EOMONTH($B7,0))/COUNTIFS('Raw Data'!$F$5:$F$500,"&gt;="&amp;$B7,'Raw Data'!$F$5:$F$500,"&lt;="&amp;EOMONTH($B7,0))</f>
        <v>0.50395575779098833</v>
      </c>
      <c r="G7" s="73"/>
      <c r="H7" s="72"/>
      <c r="I7" s="72"/>
      <c r="J7" s="72"/>
    </row>
    <row r="8" spans="1:17" x14ac:dyDescent="0.25">
      <c r="A8" s="50"/>
      <c r="B8" s="85">
        <v>43586</v>
      </c>
      <c r="C8" s="44">
        <f>SUMIFS('Raw Data'!$I$5:$I$500,'Raw Data'!$F$5:$F$500,"&gt;="&amp;$B8,'Raw Data'!$F$5:$F$500,"&lt;="&amp;EOMONTH($B8,0))</f>
        <v>328118.83</v>
      </c>
      <c r="D8" s="55">
        <f>COUNTIFS('Raw Data'!$F$5:$F$500,"&gt;="&amp;$B8,'Raw Data'!$F$5:$F$500,"&lt;="&amp;EOMONTH($B8,0))</f>
        <v>22</v>
      </c>
      <c r="E8" s="45">
        <f>SUMIFS('Raw Data'!$I$5:$I$500,'Raw Data'!$F$5:$F$500,"&gt;="&amp;$B8,'Raw Data'!$F$5:$F$500,"&lt;="&amp;EOMONTH($B8,0))/COUNTIFS('Raw Data'!$F$5:$F$500,"&gt;="&amp;$B8,'Raw Data'!$F$5:$F$500,"&lt;="&amp;EOMONTH($B8,0))</f>
        <v>14914.492272727273</v>
      </c>
      <c r="F8" s="88">
        <f>SUMIFS('Raw Data'!$K$5:$K$500,'Raw Data'!$F$5:$F$500,"&gt;="&amp;$B8,'Raw Data'!$F$5:$F$500,"&lt;="&amp;EOMONTH($B8,0))/COUNTIFS('Raw Data'!$F$5:$F$500,"&gt;="&amp;$B8,'Raw Data'!$F$5:$F$500,"&lt;="&amp;EOMONTH($B8,0))</f>
        <v>0.47940050012620539</v>
      </c>
      <c r="G8" s="73"/>
      <c r="H8" s="72"/>
      <c r="I8" s="72"/>
      <c r="J8" s="72"/>
      <c r="Q8" s="6"/>
    </row>
    <row r="9" spans="1:17" x14ac:dyDescent="0.25">
      <c r="A9" s="50"/>
      <c r="B9" s="86">
        <v>43617</v>
      </c>
      <c r="C9" s="44">
        <f>SUMIFS('Raw Data'!$I$5:$I$500,'Raw Data'!$F$5:$F$500,"&gt;="&amp;$B9,'Raw Data'!$F$5:$F$500,"&lt;="&amp;EOMONTH($B9,0))</f>
        <v>374018.48999999993</v>
      </c>
      <c r="D9" s="55">
        <f>COUNTIFS('Raw Data'!$F$5:$F$500,"&gt;="&amp;$B9,'Raw Data'!$F$5:$F$500,"&lt;="&amp;EOMONTH($B9,0))</f>
        <v>31</v>
      </c>
      <c r="E9" s="45">
        <f>SUMIFS('Raw Data'!$I$5:$I$500,'Raw Data'!$F$5:$F$500,"&gt;="&amp;$B9,'Raw Data'!$F$5:$F$500,"&lt;="&amp;EOMONTH($B9,0))/COUNTIFS('Raw Data'!$F$5:$F$500,"&gt;="&amp;$B9,'Raw Data'!$F$5:$F$500,"&lt;="&amp;EOMONTH($B9,0))</f>
        <v>12065.112580645158</v>
      </c>
      <c r="F9" s="88">
        <f>SUMIFS('Raw Data'!$K$5:$K$500,'Raw Data'!$F$5:$F$500,"&gt;="&amp;$B9,'Raw Data'!$F$5:$F$500,"&lt;="&amp;EOMONTH($B9,0))/COUNTIFS('Raw Data'!$F$5:$F$500,"&gt;="&amp;$B9,'Raw Data'!$F$5:$F$500,"&lt;="&amp;EOMONTH($B9,0))</f>
        <v>0.4743719025847839</v>
      </c>
      <c r="G9" s="73"/>
      <c r="H9" s="72"/>
      <c r="I9" s="72"/>
      <c r="J9" s="72"/>
    </row>
    <row r="10" spans="1:17" x14ac:dyDescent="0.25">
      <c r="A10" s="50"/>
      <c r="B10" s="85">
        <v>43647</v>
      </c>
      <c r="C10" s="44">
        <f>SUMIFS('Raw Data'!$I$5:$I$500,'Raw Data'!$F$5:$F$500,"&gt;="&amp;$B10,'Raw Data'!$F$5:$F$500,"&lt;="&amp;EOMONTH($B10,0))</f>
        <v>563015.05000000005</v>
      </c>
      <c r="D10" s="55">
        <f>COUNTIFS('Raw Data'!$F$5:$F$500,"&gt;="&amp;$B10,'Raw Data'!$F$5:$F$500,"&lt;="&amp;EOMONTH($B10,0))</f>
        <v>32</v>
      </c>
      <c r="E10" s="45">
        <f>SUMIFS('Raw Data'!$I$5:$I$500,'Raw Data'!$F$5:$F$500,"&gt;="&amp;$B10,'Raw Data'!$F$5:$F$500,"&lt;="&amp;EOMONTH($B10,0))/COUNTIFS('Raw Data'!$F$5:$F$500,"&gt;="&amp;$B10,'Raw Data'!$F$5:$F$500,"&lt;="&amp;EOMONTH($B10,0))</f>
        <v>17594.220312500001</v>
      </c>
      <c r="F10" s="88">
        <f>SUMIFS('Raw Data'!$K$5:$K$500,'Raw Data'!$F$5:$F$500,"&gt;="&amp;$B10,'Raw Data'!$F$5:$F$500,"&lt;="&amp;EOMONTH($B10,0))/COUNTIFS('Raw Data'!$F$5:$F$500,"&gt;="&amp;$B10,'Raw Data'!$F$5:$F$500,"&lt;="&amp;EOMONTH($B10,0))</f>
        <v>0.49404895365953694</v>
      </c>
      <c r="G10" s="73"/>
      <c r="H10" s="72"/>
      <c r="I10" s="72"/>
      <c r="J10" s="72"/>
    </row>
    <row r="11" spans="1:17" x14ac:dyDescent="0.25">
      <c r="A11" s="50"/>
      <c r="B11" s="85">
        <v>43678</v>
      </c>
      <c r="C11" s="44">
        <f>SUMIFS('Raw Data'!$I$5:$I$500,'Raw Data'!$F$5:$F$500,"&gt;="&amp;$B11,'Raw Data'!$F$5:$F$500,"&lt;="&amp;EOMONTH($B11,0))</f>
        <v>319606.31</v>
      </c>
      <c r="D11" s="55">
        <f>COUNTIFS('Raw Data'!$F$5:$F$500,"&gt;="&amp;$B11,'Raw Data'!$F$5:$F$500,"&lt;="&amp;EOMONTH($B11,0))</f>
        <v>23</v>
      </c>
      <c r="E11" s="45">
        <f>SUMIFS('Raw Data'!$I$5:$I$500,'Raw Data'!$F$5:$F$500,"&gt;="&amp;$B11,'Raw Data'!$F$5:$F$500,"&lt;="&amp;EOMONTH($B11,0))/COUNTIFS('Raw Data'!$F$5:$F$500,"&gt;="&amp;$B11,'Raw Data'!$F$5:$F$500,"&lt;="&amp;EOMONTH($B11,0))</f>
        <v>13895.926521739131</v>
      </c>
      <c r="F11" s="88">
        <f>SUMIFS('Raw Data'!$K$5:$K$500,'Raw Data'!$F$5:$F$500,"&gt;="&amp;$B11,'Raw Data'!$F$5:$F$500,"&lt;="&amp;EOMONTH($B11,0))/COUNTIFS('Raw Data'!$F$5:$F$500,"&gt;="&amp;$B11,'Raw Data'!$F$5:$F$500,"&lt;="&amp;EOMONTH($B11,0))</f>
        <v>0.46729200297018503</v>
      </c>
      <c r="G11" s="73"/>
      <c r="H11" s="72"/>
      <c r="I11" s="72"/>
      <c r="J11" s="72"/>
    </row>
    <row r="12" spans="1:17" x14ac:dyDescent="0.25">
      <c r="A12" s="50"/>
      <c r="B12" s="86">
        <v>43709</v>
      </c>
      <c r="C12" s="44">
        <f>SUMIFS('Raw Data'!$I$5:$I$500,'Raw Data'!$F$5:$F$500,"&gt;="&amp;$B12,'Raw Data'!$F$5:$F$500,"&lt;="&amp;EOMONTH($B12,0))</f>
        <v>377714.76999999996</v>
      </c>
      <c r="D12" s="55">
        <f>COUNTIFS('Raw Data'!$F$5:$F$500,"&gt;="&amp;$B12,'Raw Data'!$F$5:$F$500,"&lt;="&amp;EOMONTH($B12,0))</f>
        <v>30</v>
      </c>
      <c r="E12" s="45">
        <f>SUMIFS('Raw Data'!$I$5:$I$500,'Raw Data'!$F$5:$F$500,"&gt;="&amp;$B12,'Raw Data'!$F$5:$F$500,"&lt;="&amp;EOMONTH($B12,0))/COUNTIFS('Raw Data'!$F$5:$F$500,"&gt;="&amp;$B12,'Raw Data'!$F$5:$F$500,"&lt;="&amp;EOMONTH($B12,0))</f>
        <v>12590.492333333332</v>
      </c>
      <c r="F12" s="88">
        <f>SUMIFS('Raw Data'!$K$5:$K$500,'Raw Data'!$F$5:$F$500,"&gt;="&amp;$B12,'Raw Data'!$F$5:$F$500,"&lt;="&amp;EOMONTH($B12,0))/COUNTIFS('Raw Data'!$F$5:$F$500,"&gt;="&amp;$B12,'Raw Data'!$F$5:$F$500,"&lt;="&amp;EOMONTH($B12,0))</f>
        <v>0.45511201799560452</v>
      </c>
      <c r="G12" s="73"/>
      <c r="H12" s="72"/>
      <c r="I12" s="72"/>
      <c r="J12" s="72"/>
    </row>
    <row r="13" spans="1:17" x14ac:dyDescent="0.25">
      <c r="A13" s="50"/>
      <c r="B13" s="85">
        <v>43739</v>
      </c>
      <c r="C13" s="44">
        <f>SUMIFS('Raw Data'!$I$5:$I$500,'Raw Data'!$F$5:$F$500,"&gt;="&amp;$B13,'Raw Data'!$F$5:$F$500,"&lt;="&amp;EOMONTH($B13,0))</f>
        <v>406931.75000000006</v>
      </c>
      <c r="D13" s="55">
        <f>COUNTIFS('Raw Data'!$F$5:$F$500,"&gt;="&amp;$B13,'Raw Data'!$F$5:$F$500,"&lt;="&amp;EOMONTH($B13,0))</f>
        <v>31</v>
      </c>
      <c r="E13" s="45">
        <f>SUMIFS('Raw Data'!$I$5:$I$500,'Raw Data'!$F$5:$F$500,"&gt;="&amp;$B13,'Raw Data'!$F$5:$F$500,"&lt;="&amp;EOMONTH($B13,0))/COUNTIFS('Raw Data'!$F$5:$F$500,"&gt;="&amp;$B13,'Raw Data'!$F$5:$F$500,"&lt;="&amp;EOMONTH($B13,0))</f>
        <v>13126.830645161292</v>
      </c>
      <c r="F13" s="88">
        <f>SUMIFS('Raw Data'!$K$5:$K$500,'Raw Data'!$F$5:$F$500,"&gt;="&amp;$B13,'Raw Data'!$F$5:$F$500,"&lt;="&amp;EOMONTH($B13,0))/COUNTIFS('Raw Data'!$F$5:$F$500,"&gt;="&amp;$B13,'Raw Data'!$F$5:$F$500,"&lt;="&amp;EOMONTH($B13,0))</f>
        <v>0.50925491896502373</v>
      </c>
      <c r="G13" s="73"/>
      <c r="H13" s="72"/>
      <c r="I13" s="72"/>
      <c r="J13" s="72"/>
      <c r="Q13" s="6"/>
    </row>
    <row r="14" spans="1:17" x14ac:dyDescent="0.25">
      <c r="A14" s="50"/>
      <c r="B14" s="86">
        <v>43770</v>
      </c>
      <c r="C14" s="44">
        <f>SUMIFS('Raw Data'!$I$5:$I$500,'Raw Data'!$F$5:$F$500,"&gt;="&amp;$B14,'Raw Data'!$F$5:$F$500,"&lt;="&amp;EOMONTH($B14,0))</f>
        <v>247893.81999999995</v>
      </c>
      <c r="D14" s="55">
        <f>COUNTIFS('Raw Data'!$F$5:$F$500,"&gt;="&amp;$B14,'Raw Data'!$F$5:$F$500,"&lt;="&amp;EOMONTH($B14,0))</f>
        <v>19</v>
      </c>
      <c r="E14" s="45">
        <f>SUMIFS('Raw Data'!$I$5:$I$500,'Raw Data'!$F$5:$F$500,"&gt;="&amp;$B14,'Raw Data'!$F$5:$F$500,"&lt;="&amp;EOMONTH($B14,0))/COUNTIFS('Raw Data'!$F$5:$F$500,"&gt;="&amp;$B14,'Raw Data'!$F$5:$F$500,"&lt;="&amp;EOMONTH($B14,0))</f>
        <v>13047.043157894734</v>
      </c>
      <c r="F14" s="88">
        <f>SUMIFS('Raw Data'!$K$5:$K$500,'Raw Data'!$F$5:$F$500,"&gt;="&amp;$B14,'Raw Data'!$F$5:$F$500,"&lt;="&amp;EOMONTH($B14,0))/COUNTIFS('Raw Data'!$F$5:$F$500,"&gt;="&amp;$B14,'Raw Data'!$F$5:$F$500,"&lt;="&amp;EOMONTH($B14,0))</f>
        <v>0.52346631964293</v>
      </c>
      <c r="G14" s="73"/>
      <c r="H14" s="72"/>
      <c r="I14" s="72"/>
      <c r="J14" s="72"/>
    </row>
    <row r="15" spans="1:17" ht="15.75" thickBot="1" x14ac:dyDescent="0.3">
      <c r="A15" s="50"/>
      <c r="B15" s="87">
        <v>43800</v>
      </c>
      <c r="C15" s="76">
        <f>SUMIFS('Raw Data'!$I$5:$I$500,'Raw Data'!$F$5:$F$500,"&gt;="&amp;$B15,'Raw Data'!$F$5:$F$500,"&lt;="&amp;EOMONTH($B15,0))</f>
        <v>123701.31999999999</v>
      </c>
      <c r="D15" s="55">
        <f>COUNTIFS('Raw Data'!$F$5:$F$500,"&gt;="&amp;$B15,'Raw Data'!$F$5:$F$500,"&lt;="&amp;EOMONTH($B15,0))</f>
        <v>12</v>
      </c>
      <c r="E15" s="45">
        <f>SUMIFS('Raw Data'!$I$5:$I$500,'Raw Data'!$F$5:$F$500,"&gt;="&amp;$B15,'Raw Data'!$F$5:$F$500,"&lt;="&amp;EOMONTH($B15,0))/COUNTIFS('Raw Data'!$F$5:$F$500,"&gt;="&amp;$B15,'Raw Data'!$F$5:$F$500,"&lt;="&amp;EOMONTH($B15,0))</f>
        <v>10308.443333333333</v>
      </c>
      <c r="F15" s="88">
        <f>SUMIFS('Raw Data'!$K$5:$K$500,'Raw Data'!$F$5:$F$500,"&gt;="&amp;$B15,'Raw Data'!$F$5:$F$500,"&lt;="&amp;EOMONTH($B15,0))/COUNTIFS('Raw Data'!$F$5:$F$500,"&gt;="&amp;$B15,'Raw Data'!$F$5:$F$500,"&lt;="&amp;EOMONTH($B15,0))</f>
        <v>0.52318177130474897</v>
      </c>
      <c r="G15" s="73"/>
      <c r="H15" s="72"/>
      <c r="I15" s="72"/>
      <c r="J15" s="72"/>
    </row>
    <row r="16" spans="1:17" ht="15.75" customHeight="1" x14ac:dyDescent="0.25">
      <c r="B16" s="164"/>
      <c r="C16" s="178">
        <f>SUM(C4:C15)</f>
        <v>4037638.6225056597</v>
      </c>
      <c r="D16" s="182">
        <f>SUM(D4:D15)</f>
        <v>299</v>
      </c>
      <c r="E16" s="178">
        <f>C16/D16</f>
        <v>13503.808102025618</v>
      </c>
      <c r="F16" s="187">
        <f>'Raw Data'!K3</f>
        <v>0.48760035240720567</v>
      </c>
      <c r="G16" s="186"/>
      <c r="H16" s="184"/>
      <c r="I16" s="184"/>
      <c r="J16" s="184"/>
    </row>
    <row r="17" spans="2:23" ht="15.75" customHeight="1" thickBot="1" x14ac:dyDescent="0.3">
      <c r="B17" s="165"/>
      <c r="C17" s="179"/>
      <c r="D17" s="183"/>
      <c r="E17" s="179"/>
      <c r="F17" s="188"/>
      <c r="G17" s="186"/>
      <c r="H17" s="184"/>
      <c r="I17" s="184"/>
      <c r="J17" s="184"/>
    </row>
    <row r="18" spans="2:23" ht="15.75" thickBot="1" x14ac:dyDescent="0.3">
      <c r="B18" s="46"/>
      <c r="C18" s="47"/>
      <c r="D18" s="47"/>
      <c r="E18" s="47"/>
      <c r="F18" s="47"/>
      <c r="G18" s="47"/>
      <c r="H18" s="47"/>
      <c r="I18" s="47"/>
      <c r="J18" s="47"/>
    </row>
    <row r="19" spans="2:23" x14ac:dyDescent="0.25">
      <c r="B19" s="57"/>
      <c r="C19" s="58"/>
      <c r="D19" s="58"/>
      <c r="E19" s="58"/>
      <c r="F19" s="58"/>
      <c r="G19" s="58"/>
      <c r="H19" s="58"/>
      <c r="I19" s="58"/>
      <c r="J19" s="58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60"/>
    </row>
    <row r="20" spans="2:23" x14ac:dyDescent="0.25">
      <c r="B20" s="61"/>
      <c r="C20" s="48"/>
      <c r="D20" s="48"/>
      <c r="E20" s="48"/>
      <c r="F20" s="48"/>
      <c r="G20" s="48"/>
      <c r="H20" s="48"/>
      <c r="I20" s="48"/>
      <c r="J20" s="48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3"/>
    </row>
    <row r="21" spans="2:23" x14ac:dyDescent="0.25">
      <c r="B21" s="61"/>
      <c r="C21" s="48"/>
      <c r="D21" s="48"/>
      <c r="E21" s="48"/>
      <c r="F21" s="48"/>
      <c r="G21" s="48"/>
      <c r="H21" s="48"/>
      <c r="I21" s="48"/>
      <c r="J21" s="48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3"/>
    </row>
    <row r="22" spans="2:23" x14ac:dyDescent="0.25">
      <c r="B22" s="61"/>
      <c r="C22" s="48"/>
      <c r="D22" s="48"/>
      <c r="E22" s="48"/>
      <c r="F22" s="48"/>
      <c r="G22" s="48"/>
      <c r="H22" s="48"/>
      <c r="I22" s="48"/>
      <c r="J22" s="48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3"/>
    </row>
    <row r="23" spans="2:23" x14ac:dyDescent="0.25">
      <c r="B23" s="61"/>
      <c r="C23" s="48"/>
      <c r="D23" s="48"/>
      <c r="E23" s="48"/>
      <c r="F23" s="48"/>
      <c r="G23" s="48"/>
      <c r="H23" s="48"/>
      <c r="I23" s="48"/>
      <c r="J23" s="48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3"/>
    </row>
    <row r="24" spans="2:23" x14ac:dyDescent="0.25">
      <c r="B24" s="61"/>
      <c r="C24" s="48"/>
      <c r="D24" s="48"/>
      <c r="E24" s="48"/>
      <c r="F24" s="48"/>
      <c r="G24" s="48"/>
      <c r="H24" s="48"/>
      <c r="I24" s="48"/>
      <c r="J24" s="48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3"/>
    </row>
    <row r="25" spans="2:23" x14ac:dyDescent="0.25">
      <c r="B25" s="61"/>
      <c r="C25" s="48"/>
      <c r="D25" s="48"/>
      <c r="E25" s="48"/>
      <c r="F25" s="48"/>
      <c r="G25" s="48"/>
      <c r="H25" s="48"/>
      <c r="I25" s="48"/>
      <c r="J25" s="48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3"/>
    </row>
    <row r="26" spans="2:23" x14ac:dyDescent="0.25">
      <c r="B26" s="61"/>
      <c r="C26" s="48"/>
      <c r="D26" s="48"/>
      <c r="E26" s="48"/>
      <c r="F26" s="48"/>
      <c r="G26" s="48"/>
      <c r="H26" s="48"/>
      <c r="I26" s="48"/>
      <c r="J26" s="48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3"/>
    </row>
    <row r="27" spans="2:23" x14ac:dyDescent="0.25">
      <c r="B27" s="61"/>
      <c r="C27" s="48"/>
      <c r="D27" s="48"/>
      <c r="E27" s="48"/>
      <c r="F27" s="48"/>
      <c r="G27" s="48"/>
      <c r="H27" s="48"/>
      <c r="I27" s="48"/>
      <c r="J27" s="48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3"/>
    </row>
    <row r="28" spans="2:23" x14ac:dyDescent="0.25">
      <c r="B28" s="61"/>
      <c r="C28" s="48"/>
      <c r="D28" s="48"/>
      <c r="E28" s="48"/>
      <c r="F28" s="48"/>
      <c r="G28" s="48"/>
      <c r="H28" s="48"/>
      <c r="I28" s="48"/>
      <c r="J28" s="48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3"/>
    </row>
    <row r="29" spans="2:23" x14ac:dyDescent="0.25">
      <c r="B29" s="61"/>
      <c r="C29" s="48"/>
      <c r="D29" s="48"/>
      <c r="E29" s="48"/>
      <c r="F29" s="48"/>
      <c r="G29" s="48"/>
      <c r="H29" s="48"/>
      <c r="I29" s="48"/>
      <c r="J29" s="48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3"/>
    </row>
    <row r="30" spans="2:23" x14ac:dyDescent="0.25">
      <c r="B30" s="61"/>
      <c r="C30" s="48"/>
      <c r="D30" s="48"/>
      <c r="E30" s="48"/>
      <c r="F30" s="48"/>
      <c r="G30" s="48"/>
      <c r="H30" s="48"/>
      <c r="I30" s="48"/>
      <c r="J30" s="48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3"/>
    </row>
    <row r="31" spans="2:23" x14ac:dyDescent="0.25">
      <c r="B31" s="61"/>
      <c r="C31" s="48"/>
      <c r="D31" s="48"/>
      <c r="E31" s="48"/>
      <c r="F31" s="48"/>
      <c r="G31" s="48"/>
      <c r="H31" s="48"/>
      <c r="I31" s="48"/>
      <c r="J31" s="48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3"/>
    </row>
    <row r="32" spans="2:23" x14ac:dyDescent="0.25">
      <c r="B32" s="61"/>
      <c r="C32" s="48"/>
      <c r="D32" s="48"/>
      <c r="E32" s="48"/>
      <c r="F32" s="48"/>
      <c r="G32" s="48"/>
      <c r="H32" s="48"/>
      <c r="I32" s="48"/>
      <c r="J32" s="48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3"/>
    </row>
    <row r="33" spans="2:23" x14ac:dyDescent="0.25">
      <c r="B33" s="61"/>
      <c r="C33" s="48"/>
      <c r="D33" s="48"/>
      <c r="E33" s="48"/>
      <c r="F33" s="48"/>
      <c r="G33" s="48"/>
      <c r="H33" s="48"/>
      <c r="I33" s="48"/>
      <c r="J33" s="48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3"/>
    </row>
    <row r="34" spans="2:23" x14ac:dyDescent="0.25">
      <c r="B34" s="61"/>
      <c r="C34" s="48"/>
      <c r="D34" s="48"/>
      <c r="E34" s="48"/>
      <c r="F34" s="48"/>
      <c r="G34" s="48"/>
      <c r="H34" s="48"/>
      <c r="I34" s="48"/>
      <c r="J34" s="48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3"/>
    </row>
    <row r="35" spans="2:23" x14ac:dyDescent="0.25">
      <c r="B35" s="61"/>
      <c r="C35" s="48"/>
      <c r="D35" s="48"/>
      <c r="E35" s="48"/>
      <c r="F35" s="48"/>
      <c r="G35" s="48"/>
      <c r="H35" s="48"/>
      <c r="I35" s="48"/>
      <c r="J35" s="48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3"/>
    </row>
    <row r="36" spans="2:23" x14ac:dyDescent="0.25">
      <c r="B36" s="61"/>
      <c r="C36" s="48"/>
      <c r="D36" s="48"/>
      <c r="E36" s="48"/>
      <c r="F36" s="48"/>
      <c r="G36" s="48"/>
      <c r="H36" s="48"/>
      <c r="I36" s="48"/>
      <c r="J36" s="48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3"/>
    </row>
    <row r="37" spans="2:23" x14ac:dyDescent="0.25">
      <c r="B37" s="61"/>
      <c r="C37" s="48"/>
      <c r="D37" s="48"/>
      <c r="E37" s="48"/>
      <c r="F37" s="48"/>
      <c r="G37" s="48"/>
      <c r="H37" s="48"/>
      <c r="I37" s="48"/>
      <c r="J37" s="48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3"/>
    </row>
    <row r="38" spans="2:23" x14ac:dyDescent="0.25">
      <c r="B38" s="64"/>
      <c r="C38" s="47"/>
      <c r="D38" s="47"/>
      <c r="E38" s="47"/>
      <c r="F38" s="47"/>
      <c r="G38" s="47"/>
      <c r="H38" s="47"/>
      <c r="I38" s="47"/>
      <c r="J38" s="47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3"/>
    </row>
    <row r="39" spans="2:23" x14ac:dyDescent="0.25">
      <c r="B39" s="64"/>
      <c r="C39" s="47"/>
      <c r="D39" s="47"/>
      <c r="E39" s="47"/>
      <c r="F39" s="47"/>
      <c r="G39" s="47"/>
      <c r="H39" s="47"/>
      <c r="I39" s="47"/>
      <c r="J39" s="47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3"/>
    </row>
    <row r="40" spans="2:23" x14ac:dyDescent="0.25">
      <c r="B40" s="64"/>
      <c r="C40" s="47"/>
      <c r="D40" s="47"/>
      <c r="E40" s="47"/>
      <c r="F40" s="47"/>
      <c r="G40" s="47"/>
      <c r="H40" s="47"/>
      <c r="I40" s="47"/>
      <c r="J40" s="47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3"/>
    </row>
    <row r="41" spans="2:23" x14ac:dyDescent="0.25">
      <c r="B41" s="64"/>
      <c r="C41" s="47"/>
      <c r="D41" s="47"/>
      <c r="E41" s="47"/>
      <c r="F41" s="47"/>
      <c r="G41" s="47"/>
      <c r="H41" s="47"/>
      <c r="I41" s="47"/>
      <c r="J41" s="47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3"/>
    </row>
    <row r="42" spans="2:23" x14ac:dyDescent="0.25">
      <c r="B42" s="64"/>
      <c r="C42" s="47"/>
      <c r="D42" s="47"/>
      <c r="E42" s="47"/>
      <c r="F42" s="47"/>
      <c r="G42" s="47"/>
      <c r="H42" s="47"/>
      <c r="I42" s="47"/>
      <c r="J42" s="47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3"/>
    </row>
    <row r="43" spans="2:23" x14ac:dyDescent="0.25">
      <c r="B43" s="64"/>
      <c r="C43" s="47"/>
      <c r="D43" s="47"/>
      <c r="E43" s="47"/>
      <c r="F43" s="47"/>
      <c r="G43" s="47"/>
      <c r="H43" s="47"/>
      <c r="I43" s="47"/>
      <c r="J43" s="47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3"/>
    </row>
    <row r="44" spans="2:23" x14ac:dyDescent="0.25">
      <c r="B44" s="64"/>
      <c r="C44" s="47"/>
      <c r="D44" s="47"/>
      <c r="E44" s="47"/>
      <c r="F44" s="47"/>
      <c r="G44" s="47"/>
      <c r="H44" s="47"/>
      <c r="I44" s="47"/>
      <c r="J44" s="47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3"/>
    </row>
    <row r="45" spans="2:23" x14ac:dyDescent="0.25">
      <c r="B45" s="64"/>
      <c r="C45" s="47"/>
      <c r="D45" s="47"/>
      <c r="E45" s="47"/>
      <c r="F45" s="47"/>
      <c r="G45" s="47"/>
      <c r="H45" s="47"/>
      <c r="I45" s="47"/>
      <c r="J45" s="47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3"/>
    </row>
    <row r="46" spans="2:23" x14ac:dyDescent="0.25">
      <c r="B46" s="64"/>
      <c r="C46" s="47"/>
      <c r="D46" s="47"/>
      <c r="E46" s="47"/>
      <c r="F46" s="47"/>
      <c r="G46" s="47"/>
      <c r="H46" s="47"/>
      <c r="I46" s="47"/>
      <c r="J46" s="47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3"/>
    </row>
    <row r="47" spans="2:23" x14ac:dyDescent="0.25">
      <c r="B47" s="64"/>
      <c r="C47" s="47"/>
      <c r="D47" s="47"/>
      <c r="E47" s="47"/>
      <c r="F47" s="47"/>
      <c r="G47" s="47"/>
      <c r="H47" s="47"/>
      <c r="I47" s="47"/>
      <c r="J47" s="47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3"/>
    </row>
    <row r="48" spans="2:23" x14ac:dyDescent="0.25">
      <c r="B48" s="64"/>
      <c r="C48" s="47"/>
      <c r="D48" s="47"/>
      <c r="E48" s="47"/>
      <c r="F48" s="47"/>
      <c r="G48" s="47"/>
      <c r="H48" s="47"/>
      <c r="I48" s="47"/>
      <c r="J48" s="47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3"/>
    </row>
    <row r="49" spans="2:23" ht="15.75" thickBot="1" x14ac:dyDescent="0.3">
      <c r="B49" s="65"/>
      <c r="C49" s="66"/>
      <c r="D49" s="66"/>
      <c r="E49" s="66"/>
      <c r="F49" s="66"/>
      <c r="G49" s="66"/>
      <c r="H49" s="66"/>
      <c r="I49" s="66"/>
      <c r="J49" s="66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8"/>
    </row>
    <row r="50" spans="2:23" ht="15.75" thickBot="1" x14ac:dyDescent="0.3"/>
    <row r="51" spans="2:23" x14ac:dyDescent="0.25">
      <c r="B51" s="69"/>
      <c r="C51" s="70"/>
      <c r="D51" s="70"/>
      <c r="E51" s="70"/>
      <c r="F51" s="70"/>
      <c r="G51" s="70"/>
      <c r="H51" s="70"/>
      <c r="I51" s="70"/>
      <c r="J51" s="70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60"/>
    </row>
    <row r="52" spans="2:23" x14ac:dyDescent="0.25">
      <c r="B52" s="64"/>
      <c r="C52" s="47"/>
      <c r="D52" s="47"/>
      <c r="E52" s="47"/>
      <c r="F52" s="47"/>
      <c r="G52" s="47"/>
      <c r="H52" s="47"/>
      <c r="I52" s="47"/>
      <c r="J52" s="47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3"/>
    </row>
    <row r="53" spans="2:23" x14ac:dyDescent="0.25">
      <c r="B53" s="64"/>
      <c r="C53" s="47"/>
      <c r="D53" s="47"/>
      <c r="E53" s="47"/>
      <c r="F53" s="47"/>
      <c r="G53" s="47"/>
      <c r="H53" s="47"/>
      <c r="I53" s="47"/>
      <c r="J53" s="47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3"/>
    </row>
    <row r="54" spans="2:23" x14ac:dyDescent="0.25">
      <c r="B54" s="64"/>
      <c r="C54" s="47"/>
      <c r="D54" s="47"/>
      <c r="E54" s="47"/>
      <c r="F54" s="47"/>
      <c r="G54" s="47"/>
      <c r="H54" s="47"/>
      <c r="I54" s="47"/>
      <c r="J54" s="47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3"/>
    </row>
    <row r="55" spans="2:23" x14ac:dyDescent="0.25">
      <c r="B55" s="64"/>
      <c r="C55" s="47"/>
      <c r="D55" s="47"/>
      <c r="E55" s="47"/>
      <c r="F55" s="47"/>
      <c r="G55" s="47"/>
      <c r="H55" s="47"/>
      <c r="I55" s="47"/>
      <c r="J55" s="47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3"/>
    </row>
    <row r="56" spans="2:23" x14ac:dyDescent="0.25">
      <c r="B56" s="64"/>
      <c r="C56" s="47"/>
      <c r="D56" s="47"/>
      <c r="E56" s="47"/>
      <c r="F56" s="47"/>
      <c r="G56" s="47"/>
      <c r="H56" s="47"/>
      <c r="I56" s="47"/>
      <c r="J56" s="47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3"/>
    </row>
    <row r="57" spans="2:23" x14ac:dyDescent="0.25">
      <c r="B57" s="64"/>
      <c r="C57" s="47"/>
      <c r="D57" s="47"/>
      <c r="E57" s="47"/>
      <c r="F57" s="47"/>
      <c r="G57" s="47"/>
      <c r="H57" s="47"/>
      <c r="I57" s="47"/>
      <c r="J57" s="47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3"/>
    </row>
    <row r="58" spans="2:23" x14ac:dyDescent="0.25">
      <c r="B58" s="64"/>
      <c r="C58" s="47"/>
      <c r="D58" s="47"/>
      <c r="E58" s="47"/>
      <c r="F58" s="47"/>
      <c r="G58" s="47"/>
      <c r="H58" s="47"/>
      <c r="I58" s="47"/>
      <c r="J58" s="47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3"/>
    </row>
    <row r="59" spans="2:23" x14ac:dyDescent="0.25">
      <c r="B59" s="64"/>
      <c r="C59" s="47"/>
      <c r="D59" s="47"/>
      <c r="E59" s="47"/>
      <c r="F59" s="47"/>
      <c r="G59" s="47"/>
      <c r="H59" s="47"/>
      <c r="I59" s="47"/>
      <c r="J59" s="47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3"/>
    </row>
    <row r="60" spans="2:23" x14ac:dyDescent="0.25">
      <c r="B60" s="64"/>
      <c r="C60" s="47"/>
      <c r="D60" s="47"/>
      <c r="E60" s="47"/>
      <c r="F60" s="47"/>
      <c r="G60" s="47"/>
      <c r="H60" s="47"/>
      <c r="I60" s="47"/>
      <c r="J60" s="47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3"/>
    </row>
    <row r="61" spans="2:23" x14ac:dyDescent="0.25">
      <c r="B61" s="64"/>
      <c r="C61" s="47"/>
      <c r="D61" s="47"/>
      <c r="E61" s="47"/>
      <c r="F61" s="47"/>
      <c r="G61" s="47"/>
      <c r="H61" s="47"/>
      <c r="I61" s="47"/>
      <c r="J61" s="47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3"/>
    </row>
    <row r="62" spans="2:23" x14ac:dyDescent="0.25">
      <c r="B62" s="64"/>
      <c r="C62" s="47"/>
      <c r="D62" s="47"/>
      <c r="E62" s="47"/>
      <c r="F62" s="47"/>
      <c r="G62" s="47"/>
      <c r="H62" s="47"/>
      <c r="I62" s="47"/>
      <c r="J62" s="47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3"/>
    </row>
    <row r="63" spans="2:23" x14ac:dyDescent="0.25">
      <c r="B63" s="64"/>
      <c r="C63" s="47"/>
      <c r="D63" s="47"/>
      <c r="E63" s="47"/>
      <c r="F63" s="47"/>
      <c r="G63" s="47"/>
      <c r="H63" s="47"/>
      <c r="I63" s="47"/>
      <c r="J63" s="47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3"/>
    </row>
    <row r="64" spans="2:23" x14ac:dyDescent="0.25">
      <c r="B64" s="64"/>
      <c r="C64" s="47"/>
      <c r="D64" s="47"/>
      <c r="E64" s="47"/>
      <c r="F64" s="47"/>
      <c r="G64" s="47"/>
      <c r="H64" s="47"/>
      <c r="I64" s="47"/>
      <c r="J64" s="47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3"/>
    </row>
    <row r="65" spans="2:23" x14ac:dyDescent="0.25">
      <c r="B65" s="64"/>
      <c r="C65" s="47"/>
      <c r="D65" s="47"/>
      <c r="E65" s="47"/>
      <c r="F65" s="47"/>
      <c r="G65" s="47"/>
      <c r="H65" s="47"/>
      <c r="I65" s="47"/>
      <c r="J65" s="47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3"/>
    </row>
    <row r="66" spans="2:23" x14ac:dyDescent="0.25">
      <c r="B66" s="64"/>
      <c r="C66" s="47"/>
      <c r="D66" s="47"/>
      <c r="E66" s="47"/>
      <c r="F66" s="47"/>
      <c r="G66" s="47"/>
      <c r="H66" s="47"/>
      <c r="I66" s="47"/>
      <c r="J66" s="47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3"/>
    </row>
    <row r="67" spans="2:23" x14ac:dyDescent="0.25">
      <c r="B67" s="64"/>
      <c r="C67" s="47"/>
      <c r="D67" s="47"/>
      <c r="E67" s="47"/>
      <c r="F67" s="47"/>
      <c r="G67" s="47"/>
      <c r="H67" s="47"/>
      <c r="I67" s="47"/>
      <c r="J67" s="47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3"/>
    </row>
    <row r="68" spans="2:23" x14ac:dyDescent="0.25">
      <c r="B68" s="64"/>
      <c r="C68" s="47"/>
      <c r="D68" s="47"/>
      <c r="E68" s="47"/>
      <c r="F68" s="47"/>
      <c r="G68" s="47"/>
      <c r="H68" s="47"/>
      <c r="I68" s="47"/>
      <c r="J68" s="47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3"/>
    </row>
    <row r="69" spans="2:23" x14ac:dyDescent="0.25">
      <c r="B69" s="64"/>
      <c r="C69" s="47"/>
      <c r="D69" s="47"/>
      <c r="E69" s="47"/>
      <c r="F69" s="47"/>
      <c r="G69" s="47"/>
      <c r="H69" s="47"/>
      <c r="I69" s="47"/>
      <c r="J69" s="47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3"/>
    </row>
    <row r="70" spans="2:23" x14ac:dyDescent="0.25">
      <c r="B70" s="64"/>
      <c r="C70" s="47"/>
      <c r="D70" s="47"/>
      <c r="E70" s="47"/>
      <c r="F70" s="47"/>
      <c r="G70" s="47"/>
      <c r="H70" s="47"/>
      <c r="I70" s="47"/>
      <c r="J70" s="47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3"/>
    </row>
    <row r="71" spans="2:23" x14ac:dyDescent="0.25">
      <c r="B71" s="64"/>
      <c r="C71" s="47"/>
      <c r="D71" s="47"/>
      <c r="E71" s="47"/>
      <c r="F71" s="47"/>
      <c r="G71" s="47"/>
      <c r="H71" s="47"/>
      <c r="I71" s="47"/>
      <c r="J71" s="47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3"/>
    </row>
    <row r="72" spans="2:23" x14ac:dyDescent="0.25">
      <c r="B72" s="64"/>
      <c r="C72" s="47"/>
      <c r="D72" s="47"/>
      <c r="E72" s="47"/>
      <c r="F72" s="47"/>
      <c r="G72" s="47"/>
      <c r="H72" s="47"/>
      <c r="I72" s="47"/>
      <c r="J72" s="47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3"/>
    </row>
    <row r="73" spans="2:23" x14ac:dyDescent="0.25">
      <c r="B73" s="64"/>
      <c r="C73" s="47"/>
      <c r="D73" s="47"/>
      <c r="E73" s="47"/>
      <c r="F73" s="47"/>
      <c r="G73" s="47"/>
      <c r="H73" s="47"/>
      <c r="I73" s="47"/>
      <c r="J73" s="47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3"/>
    </row>
    <row r="74" spans="2:23" x14ac:dyDescent="0.25">
      <c r="B74" s="64"/>
      <c r="C74" s="47"/>
      <c r="D74" s="47"/>
      <c r="E74" s="47"/>
      <c r="F74" s="47"/>
      <c r="G74" s="47"/>
      <c r="H74" s="47"/>
      <c r="I74" s="47"/>
      <c r="J74" s="47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3"/>
    </row>
    <row r="75" spans="2:23" x14ac:dyDescent="0.25">
      <c r="B75" s="64"/>
      <c r="C75" s="47"/>
      <c r="D75" s="47"/>
      <c r="E75" s="47"/>
      <c r="F75" s="47"/>
      <c r="G75" s="47"/>
      <c r="H75" s="47"/>
      <c r="I75" s="47"/>
      <c r="J75" s="47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3"/>
    </row>
    <row r="76" spans="2:23" x14ac:dyDescent="0.25">
      <c r="B76" s="64"/>
      <c r="C76" s="47"/>
      <c r="D76" s="47"/>
      <c r="E76" s="47"/>
      <c r="F76" s="47"/>
      <c r="G76" s="47"/>
      <c r="H76" s="47"/>
      <c r="I76" s="47"/>
      <c r="J76" s="47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3"/>
    </row>
    <row r="77" spans="2:23" x14ac:dyDescent="0.25">
      <c r="B77" s="64"/>
      <c r="C77" s="47"/>
      <c r="D77" s="47"/>
      <c r="E77" s="47"/>
      <c r="F77" s="47"/>
      <c r="G77" s="47"/>
      <c r="H77" s="47"/>
      <c r="I77" s="47"/>
      <c r="J77" s="47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3"/>
    </row>
    <row r="78" spans="2:23" x14ac:dyDescent="0.25">
      <c r="B78" s="64"/>
      <c r="C78" s="47"/>
      <c r="D78" s="47"/>
      <c r="E78" s="47"/>
      <c r="F78" s="47"/>
      <c r="G78" s="47"/>
      <c r="H78" s="47"/>
      <c r="I78" s="47"/>
      <c r="J78" s="47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3"/>
    </row>
    <row r="79" spans="2:23" x14ac:dyDescent="0.25">
      <c r="B79" s="64"/>
      <c r="C79" s="47"/>
      <c r="D79" s="47"/>
      <c r="E79" s="47"/>
      <c r="F79" s="47"/>
      <c r="G79" s="47"/>
      <c r="H79" s="47"/>
      <c r="I79" s="47"/>
      <c r="J79" s="47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3"/>
    </row>
    <row r="80" spans="2:23" x14ac:dyDescent="0.25">
      <c r="B80" s="64"/>
      <c r="C80" s="47"/>
      <c r="D80" s="47"/>
      <c r="E80" s="47"/>
      <c r="F80" s="47"/>
      <c r="G80" s="47"/>
      <c r="H80" s="47"/>
      <c r="I80" s="47"/>
      <c r="J80" s="47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3"/>
    </row>
    <row r="81" spans="2:23" ht="15.75" thickBot="1" x14ac:dyDescent="0.3">
      <c r="B81" s="65"/>
      <c r="C81" s="66"/>
      <c r="D81" s="66"/>
      <c r="E81" s="66"/>
      <c r="F81" s="66"/>
      <c r="G81" s="66"/>
      <c r="H81" s="66"/>
      <c r="I81" s="66"/>
      <c r="J81" s="66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8"/>
    </row>
    <row r="82" spans="2:23" ht="15.75" thickBot="1" x14ac:dyDescent="0.3"/>
    <row r="83" spans="2:23" x14ac:dyDescent="0.25">
      <c r="B83" s="69"/>
      <c r="C83" s="70"/>
      <c r="D83" s="70"/>
      <c r="E83" s="70"/>
      <c r="F83" s="70"/>
      <c r="G83" s="70"/>
      <c r="H83" s="70"/>
      <c r="I83" s="70"/>
      <c r="J83" s="70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60"/>
    </row>
    <row r="84" spans="2:23" x14ac:dyDescent="0.25">
      <c r="B84" s="64"/>
      <c r="C84" s="47"/>
      <c r="D84" s="47"/>
      <c r="E84" s="47"/>
      <c r="F84" s="47"/>
      <c r="G84" s="47"/>
      <c r="H84" s="47"/>
      <c r="I84" s="47"/>
      <c r="J84" s="47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3"/>
    </row>
    <row r="85" spans="2:23" x14ac:dyDescent="0.25">
      <c r="B85" s="64"/>
      <c r="C85" s="47"/>
      <c r="D85" s="47"/>
      <c r="E85" s="47"/>
      <c r="F85" s="47"/>
      <c r="G85" s="47"/>
      <c r="H85" s="47"/>
      <c r="I85" s="47"/>
      <c r="J85" s="47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3"/>
    </row>
    <row r="86" spans="2:23" x14ac:dyDescent="0.25">
      <c r="B86" s="64"/>
      <c r="C86" s="47"/>
      <c r="D86" s="47"/>
      <c r="E86" s="47"/>
      <c r="F86" s="47"/>
      <c r="G86" s="47"/>
      <c r="H86" s="47"/>
      <c r="I86" s="47"/>
      <c r="J86" s="47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3"/>
    </row>
    <row r="87" spans="2:23" x14ac:dyDescent="0.25">
      <c r="B87" s="64"/>
      <c r="C87" s="47"/>
      <c r="D87" s="47"/>
      <c r="E87" s="47"/>
      <c r="F87" s="47"/>
      <c r="G87" s="47"/>
      <c r="H87" s="47"/>
      <c r="I87" s="47"/>
      <c r="J87" s="47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3"/>
    </row>
    <row r="88" spans="2:23" x14ac:dyDescent="0.25">
      <c r="B88" s="64"/>
      <c r="C88" s="47"/>
      <c r="D88" s="47"/>
      <c r="E88" s="47"/>
      <c r="F88" s="47"/>
      <c r="G88" s="47"/>
      <c r="H88" s="47"/>
      <c r="I88" s="47"/>
      <c r="J88" s="47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3"/>
    </row>
    <row r="89" spans="2:23" x14ac:dyDescent="0.25">
      <c r="B89" s="64"/>
      <c r="C89" s="47"/>
      <c r="D89" s="47"/>
      <c r="E89" s="47"/>
      <c r="F89" s="47"/>
      <c r="G89" s="47"/>
      <c r="H89" s="47"/>
      <c r="I89" s="47"/>
      <c r="J89" s="47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3"/>
    </row>
    <row r="90" spans="2:23" x14ac:dyDescent="0.25">
      <c r="B90" s="64"/>
      <c r="C90" s="47"/>
      <c r="D90" s="47"/>
      <c r="E90" s="47"/>
      <c r="F90" s="47"/>
      <c r="G90" s="47"/>
      <c r="H90" s="47"/>
      <c r="I90" s="47"/>
      <c r="J90" s="47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3"/>
    </row>
    <row r="91" spans="2:23" x14ac:dyDescent="0.25">
      <c r="B91" s="64"/>
      <c r="C91" s="47"/>
      <c r="D91" s="47"/>
      <c r="E91" s="47"/>
      <c r="F91" s="47"/>
      <c r="G91" s="47"/>
      <c r="H91" s="47"/>
      <c r="I91" s="47"/>
      <c r="J91" s="47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3"/>
    </row>
    <row r="92" spans="2:23" x14ac:dyDescent="0.25">
      <c r="B92" s="64"/>
      <c r="C92" s="47"/>
      <c r="D92" s="47"/>
      <c r="E92" s="47"/>
      <c r="F92" s="47"/>
      <c r="G92" s="47"/>
      <c r="H92" s="47"/>
      <c r="I92" s="47"/>
      <c r="J92" s="47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3"/>
    </row>
    <row r="93" spans="2:23" x14ac:dyDescent="0.25">
      <c r="B93" s="64"/>
      <c r="C93" s="47"/>
      <c r="D93" s="47"/>
      <c r="E93" s="47"/>
      <c r="F93" s="47"/>
      <c r="G93" s="47"/>
      <c r="H93" s="47"/>
      <c r="I93" s="47"/>
      <c r="J93" s="47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3"/>
    </row>
    <row r="94" spans="2:23" x14ac:dyDescent="0.25">
      <c r="B94" s="64"/>
      <c r="C94" s="47"/>
      <c r="D94" s="47"/>
      <c r="E94" s="47"/>
      <c r="F94" s="47"/>
      <c r="G94" s="47"/>
      <c r="H94" s="47"/>
      <c r="I94" s="47"/>
      <c r="J94" s="47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3"/>
    </row>
    <row r="95" spans="2:23" x14ac:dyDescent="0.25">
      <c r="B95" s="64"/>
      <c r="C95" s="47"/>
      <c r="D95" s="47"/>
      <c r="E95" s="47"/>
      <c r="F95" s="47"/>
      <c r="G95" s="47"/>
      <c r="H95" s="47"/>
      <c r="I95" s="47"/>
      <c r="J95" s="47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3"/>
    </row>
    <row r="96" spans="2:23" x14ac:dyDescent="0.25">
      <c r="B96" s="64"/>
      <c r="C96" s="47"/>
      <c r="D96" s="47"/>
      <c r="E96" s="47"/>
      <c r="F96" s="47"/>
      <c r="G96" s="47"/>
      <c r="H96" s="47"/>
      <c r="I96" s="47"/>
      <c r="J96" s="47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3"/>
    </row>
    <row r="97" spans="2:23" x14ac:dyDescent="0.25">
      <c r="B97" s="64"/>
      <c r="C97" s="47"/>
      <c r="D97" s="47"/>
      <c r="E97" s="47"/>
      <c r="F97" s="47"/>
      <c r="G97" s="47"/>
      <c r="H97" s="47"/>
      <c r="I97" s="47"/>
      <c r="J97" s="47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</row>
    <row r="98" spans="2:23" x14ac:dyDescent="0.25">
      <c r="B98" s="64"/>
      <c r="C98" s="47"/>
      <c r="D98" s="47"/>
      <c r="E98" s="47"/>
      <c r="F98" s="47"/>
      <c r="G98" s="47"/>
      <c r="H98" s="47"/>
      <c r="I98" s="47"/>
      <c r="J98" s="47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3"/>
    </row>
    <row r="99" spans="2:23" x14ac:dyDescent="0.25">
      <c r="B99" s="64"/>
      <c r="C99" s="47"/>
      <c r="D99" s="47"/>
      <c r="E99" s="47"/>
      <c r="F99" s="47"/>
      <c r="G99" s="47"/>
      <c r="H99" s="47"/>
      <c r="I99" s="47"/>
      <c r="J99" s="47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3"/>
    </row>
    <row r="100" spans="2:23" x14ac:dyDescent="0.25">
      <c r="B100" s="64"/>
      <c r="C100" s="47"/>
      <c r="D100" s="47"/>
      <c r="E100" s="47"/>
      <c r="F100" s="47"/>
      <c r="G100" s="47"/>
      <c r="H100" s="47"/>
      <c r="I100" s="47"/>
      <c r="J100" s="47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3"/>
    </row>
    <row r="101" spans="2:23" x14ac:dyDescent="0.25">
      <c r="B101" s="64"/>
      <c r="C101" s="47"/>
      <c r="D101" s="47"/>
      <c r="E101" s="47"/>
      <c r="F101" s="47"/>
      <c r="G101" s="47"/>
      <c r="H101" s="47"/>
      <c r="I101" s="47"/>
      <c r="J101" s="47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3"/>
    </row>
    <row r="102" spans="2:23" x14ac:dyDescent="0.25">
      <c r="B102" s="64"/>
      <c r="C102" s="47"/>
      <c r="D102" s="47"/>
      <c r="E102" s="47"/>
      <c r="F102" s="47"/>
      <c r="G102" s="47"/>
      <c r="H102" s="47"/>
      <c r="I102" s="47"/>
      <c r="J102" s="47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3"/>
    </row>
    <row r="103" spans="2:23" x14ac:dyDescent="0.25">
      <c r="B103" s="64"/>
      <c r="C103" s="47"/>
      <c r="D103" s="47"/>
      <c r="E103" s="47"/>
      <c r="F103" s="47"/>
      <c r="G103" s="47"/>
      <c r="H103" s="47"/>
      <c r="I103" s="47"/>
      <c r="J103" s="47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3"/>
    </row>
    <row r="104" spans="2:23" x14ac:dyDescent="0.25">
      <c r="B104" s="64"/>
      <c r="C104" s="47"/>
      <c r="D104" s="47"/>
      <c r="E104" s="47"/>
      <c r="F104" s="47"/>
      <c r="G104" s="47"/>
      <c r="H104" s="47"/>
      <c r="I104" s="47"/>
      <c r="J104" s="47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3"/>
    </row>
    <row r="105" spans="2:23" x14ac:dyDescent="0.25">
      <c r="B105" s="64"/>
      <c r="C105" s="47"/>
      <c r="D105" s="47"/>
      <c r="E105" s="47"/>
      <c r="F105" s="47"/>
      <c r="G105" s="47"/>
      <c r="H105" s="47"/>
      <c r="I105" s="47"/>
      <c r="J105" s="47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3"/>
    </row>
    <row r="106" spans="2:23" x14ac:dyDescent="0.25">
      <c r="B106" s="64"/>
      <c r="C106" s="47"/>
      <c r="D106" s="47"/>
      <c r="E106" s="47"/>
      <c r="F106" s="47"/>
      <c r="G106" s="47"/>
      <c r="H106" s="47"/>
      <c r="I106" s="47"/>
      <c r="J106" s="47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3"/>
    </row>
    <row r="107" spans="2:23" x14ac:dyDescent="0.25">
      <c r="B107" s="64"/>
      <c r="C107" s="47"/>
      <c r="D107" s="47"/>
      <c r="E107" s="47"/>
      <c r="F107" s="47"/>
      <c r="G107" s="47"/>
      <c r="H107" s="47"/>
      <c r="I107" s="47"/>
      <c r="J107" s="47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3"/>
    </row>
    <row r="108" spans="2:23" x14ac:dyDescent="0.25">
      <c r="B108" s="64"/>
      <c r="C108" s="47"/>
      <c r="D108" s="47"/>
      <c r="E108" s="47"/>
      <c r="F108" s="47"/>
      <c r="G108" s="47"/>
      <c r="H108" s="47"/>
      <c r="I108" s="47"/>
      <c r="J108" s="47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3"/>
    </row>
    <row r="109" spans="2:23" x14ac:dyDescent="0.25">
      <c r="B109" s="64"/>
      <c r="C109" s="47"/>
      <c r="D109" s="47"/>
      <c r="E109" s="47"/>
      <c r="F109" s="47"/>
      <c r="G109" s="47"/>
      <c r="H109" s="47"/>
      <c r="I109" s="47"/>
      <c r="J109" s="47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3"/>
    </row>
    <row r="110" spans="2:23" x14ac:dyDescent="0.25">
      <c r="B110" s="64"/>
      <c r="C110" s="47"/>
      <c r="D110" s="47"/>
      <c r="E110" s="47"/>
      <c r="F110" s="47"/>
      <c r="G110" s="47"/>
      <c r="H110" s="47"/>
      <c r="I110" s="47"/>
      <c r="J110" s="47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3"/>
    </row>
    <row r="111" spans="2:23" x14ac:dyDescent="0.25">
      <c r="B111" s="64"/>
      <c r="C111" s="47"/>
      <c r="D111" s="47"/>
      <c r="E111" s="47"/>
      <c r="F111" s="47"/>
      <c r="G111" s="47"/>
      <c r="H111" s="47"/>
      <c r="I111" s="47"/>
      <c r="J111" s="47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3"/>
    </row>
    <row r="112" spans="2:23" x14ac:dyDescent="0.25">
      <c r="B112" s="64"/>
      <c r="C112" s="47"/>
      <c r="D112" s="47"/>
      <c r="E112" s="47"/>
      <c r="F112" s="47"/>
      <c r="G112" s="47"/>
      <c r="H112" s="47"/>
      <c r="I112" s="47"/>
      <c r="J112" s="47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3"/>
    </row>
    <row r="113" spans="2:23" ht="15.75" thickBot="1" x14ac:dyDescent="0.3">
      <c r="B113" s="65"/>
      <c r="C113" s="66"/>
      <c r="D113" s="66"/>
      <c r="E113" s="66"/>
      <c r="F113" s="66"/>
      <c r="G113" s="66"/>
      <c r="H113" s="66"/>
      <c r="I113" s="66"/>
      <c r="J113" s="66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8"/>
    </row>
    <row r="114" spans="2:23" ht="15.75" thickBot="1" x14ac:dyDescent="0.3"/>
    <row r="115" spans="2:23" x14ac:dyDescent="0.25">
      <c r="B115" s="69"/>
      <c r="C115" s="70"/>
      <c r="D115" s="70"/>
      <c r="E115" s="70"/>
      <c r="F115" s="70"/>
      <c r="G115" s="70"/>
      <c r="H115" s="70"/>
      <c r="I115" s="70"/>
      <c r="J115" s="70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60"/>
    </row>
    <row r="116" spans="2:23" x14ac:dyDescent="0.25">
      <c r="B116" s="64"/>
      <c r="C116" s="47"/>
      <c r="D116" s="47"/>
      <c r="E116" s="47"/>
      <c r="F116" s="47"/>
      <c r="G116" s="47"/>
      <c r="H116" s="47"/>
      <c r="I116" s="47"/>
      <c r="J116" s="47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3"/>
    </row>
    <row r="117" spans="2:23" x14ac:dyDescent="0.25">
      <c r="B117" s="64"/>
      <c r="C117" s="47"/>
      <c r="D117" s="47"/>
      <c r="E117" s="47"/>
      <c r="F117" s="47"/>
      <c r="G117" s="47"/>
      <c r="H117" s="47"/>
      <c r="I117" s="47"/>
      <c r="J117" s="47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3"/>
    </row>
    <row r="118" spans="2:23" x14ac:dyDescent="0.25">
      <c r="B118" s="64"/>
      <c r="C118" s="47"/>
      <c r="D118" s="47"/>
      <c r="E118" s="47"/>
      <c r="F118" s="47"/>
      <c r="G118" s="47"/>
      <c r="H118" s="47"/>
      <c r="I118" s="47"/>
      <c r="J118" s="47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3"/>
    </row>
    <row r="119" spans="2:23" x14ac:dyDescent="0.25">
      <c r="B119" s="64"/>
      <c r="C119" s="47"/>
      <c r="D119" s="47"/>
      <c r="E119" s="47"/>
      <c r="F119" s="47"/>
      <c r="G119" s="47"/>
      <c r="H119" s="47"/>
      <c r="I119" s="47"/>
      <c r="J119" s="47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3"/>
    </row>
    <row r="120" spans="2:23" x14ac:dyDescent="0.25">
      <c r="B120" s="64"/>
      <c r="C120" s="47"/>
      <c r="D120" s="47"/>
      <c r="E120" s="47"/>
      <c r="F120" s="47"/>
      <c r="G120" s="47"/>
      <c r="H120" s="47"/>
      <c r="I120" s="47"/>
      <c r="J120" s="47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3"/>
    </row>
    <row r="121" spans="2:23" x14ac:dyDescent="0.25">
      <c r="B121" s="64"/>
      <c r="C121" s="47"/>
      <c r="D121" s="47"/>
      <c r="E121" s="47"/>
      <c r="F121" s="47"/>
      <c r="G121" s="47"/>
      <c r="H121" s="47"/>
      <c r="I121" s="47"/>
      <c r="J121" s="47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3"/>
    </row>
    <row r="122" spans="2:23" x14ac:dyDescent="0.25">
      <c r="B122" s="64"/>
      <c r="C122" s="47"/>
      <c r="D122" s="47"/>
      <c r="E122" s="47"/>
      <c r="F122" s="47"/>
      <c r="G122" s="47"/>
      <c r="H122" s="47"/>
      <c r="I122" s="47"/>
      <c r="J122" s="47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3"/>
    </row>
    <row r="123" spans="2:23" x14ac:dyDescent="0.25">
      <c r="B123" s="64"/>
      <c r="C123" s="47"/>
      <c r="D123" s="47"/>
      <c r="E123" s="47"/>
      <c r="F123" s="47"/>
      <c r="G123" s="47"/>
      <c r="H123" s="47"/>
      <c r="I123" s="47"/>
      <c r="J123" s="47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3"/>
    </row>
    <row r="124" spans="2:23" x14ac:dyDescent="0.25">
      <c r="B124" s="64"/>
      <c r="C124" s="47"/>
      <c r="D124" s="47"/>
      <c r="E124" s="47"/>
      <c r="F124" s="47"/>
      <c r="G124" s="47"/>
      <c r="H124" s="47"/>
      <c r="I124" s="47"/>
      <c r="J124" s="47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3"/>
    </row>
    <row r="125" spans="2:23" x14ac:dyDescent="0.25">
      <c r="B125" s="64"/>
      <c r="C125" s="47"/>
      <c r="D125" s="47"/>
      <c r="E125" s="47"/>
      <c r="F125" s="47"/>
      <c r="G125" s="47"/>
      <c r="H125" s="47"/>
      <c r="I125" s="47"/>
      <c r="J125" s="47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3"/>
    </row>
    <row r="126" spans="2:23" x14ac:dyDescent="0.25">
      <c r="B126" s="64"/>
      <c r="C126" s="47"/>
      <c r="D126" s="47"/>
      <c r="E126" s="47"/>
      <c r="F126" s="47"/>
      <c r="G126" s="47"/>
      <c r="H126" s="47"/>
      <c r="I126" s="47"/>
      <c r="J126" s="47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3"/>
    </row>
    <row r="127" spans="2:23" x14ac:dyDescent="0.25">
      <c r="B127" s="64"/>
      <c r="C127" s="47"/>
      <c r="D127" s="47"/>
      <c r="E127" s="47"/>
      <c r="F127" s="47"/>
      <c r="G127" s="47"/>
      <c r="H127" s="47"/>
      <c r="I127" s="47"/>
      <c r="J127" s="47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3"/>
    </row>
    <row r="128" spans="2:23" x14ac:dyDescent="0.25">
      <c r="B128" s="64"/>
      <c r="C128" s="47"/>
      <c r="D128" s="47"/>
      <c r="E128" s="47"/>
      <c r="F128" s="47"/>
      <c r="G128" s="47"/>
      <c r="H128" s="47"/>
      <c r="I128" s="47"/>
      <c r="J128" s="47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3"/>
    </row>
    <row r="129" spans="2:23" x14ac:dyDescent="0.25">
      <c r="B129" s="64"/>
      <c r="C129" s="47"/>
      <c r="D129" s="47"/>
      <c r="E129" s="47"/>
      <c r="F129" s="47"/>
      <c r="G129" s="47"/>
      <c r="H129" s="47"/>
      <c r="I129" s="47"/>
      <c r="J129" s="47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3"/>
    </row>
    <row r="130" spans="2:23" x14ac:dyDescent="0.25">
      <c r="B130" s="64"/>
      <c r="C130" s="47"/>
      <c r="D130" s="47"/>
      <c r="E130" s="47"/>
      <c r="F130" s="47"/>
      <c r="G130" s="47"/>
      <c r="H130" s="47"/>
      <c r="I130" s="47"/>
      <c r="J130" s="47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3"/>
    </row>
    <row r="131" spans="2:23" x14ac:dyDescent="0.25">
      <c r="B131" s="64"/>
      <c r="C131" s="47"/>
      <c r="D131" s="47"/>
      <c r="E131" s="47"/>
      <c r="F131" s="47"/>
      <c r="G131" s="47"/>
      <c r="H131" s="47"/>
      <c r="I131" s="47"/>
      <c r="J131" s="47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3"/>
    </row>
    <row r="132" spans="2:23" x14ac:dyDescent="0.25">
      <c r="B132" s="64"/>
      <c r="C132" s="47"/>
      <c r="D132" s="47"/>
      <c r="E132" s="47"/>
      <c r="F132" s="47"/>
      <c r="G132" s="47"/>
      <c r="H132" s="47"/>
      <c r="I132" s="47"/>
      <c r="J132" s="47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3"/>
    </row>
    <row r="133" spans="2:23" x14ac:dyDescent="0.25">
      <c r="B133" s="64"/>
      <c r="C133" s="47"/>
      <c r="D133" s="47"/>
      <c r="E133" s="47"/>
      <c r="F133" s="47"/>
      <c r="G133" s="47"/>
      <c r="H133" s="47"/>
      <c r="I133" s="47"/>
      <c r="J133" s="47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3"/>
    </row>
    <row r="134" spans="2:23" x14ac:dyDescent="0.25">
      <c r="B134" s="64"/>
      <c r="C134" s="47"/>
      <c r="D134" s="47"/>
      <c r="E134" s="47"/>
      <c r="F134" s="47"/>
      <c r="G134" s="47"/>
      <c r="H134" s="47"/>
      <c r="I134" s="47"/>
      <c r="J134" s="47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3"/>
    </row>
    <row r="135" spans="2:23" x14ac:dyDescent="0.25">
      <c r="B135" s="64"/>
      <c r="C135" s="47"/>
      <c r="D135" s="47"/>
      <c r="E135" s="47"/>
      <c r="F135" s="47"/>
      <c r="G135" s="47"/>
      <c r="H135" s="47"/>
      <c r="I135" s="47"/>
      <c r="J135" s="47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3"/>
    </row>
    <row r="136" spans="2:23" x14ac:dyDescent="0.25">
      <c r="B136" s="64"/>
      <c r="C136" s="47"/>
      <c r="D136" s="47"/>
      <c r="E136" s="47"/>
      <c r="F136" s="47"/>
      <c r="G136" s="47"/>
      <c r="H136" s="47"/>
      <c r="I136" s="47"/>
      <c r="J136" s="47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3"/>
    </row>
    <row r="137" spans="2:23" x14ac:dyDescent="0.25">
      <c r="B137" s="64"/>
      <c r="C137" s="47"/>
      <c r="D137" s="47"/>
      <c r="E137" s="47"/>
      <c r="F137" s="47"/>
      <c r="G137" s="47"/>
      <c r="H137" s="47"/>
      <c r="I137" s="47"/>
      <c r="J137" s="47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3"/>
    </row>
    <row r="138" spans="2:23" x14ac:dyDescent="0.25">
      <c r="B138" s="64"/>
      <c r="C138" s="47"/>
      <c r="D138" s="47"/>
      <c r="E138" s="47"/>
      <c r="F138" s="47"/>
      <c r="G138" s="47"/>
      <c r="H138" s="47"/>
      <c r="I138" s="47"/>
      <c r="J138" s="47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3"/>
    </row>
    <row r="139" spans="2:23" x14ac:dyDescent="0.25">
      <c r="B139" s="64"/>
      <c r="C139" s="47"/>
      <c r="D139" s="47"/>
      <c r="E139" s="47"/>
      <c r="F139" s="47"/>
      <c r="G139" s="47"/>
      <c r="H139" s="47"/>
      <c r="I139" s="47"/>
      <c r="J139" s="47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3"/>
    </row>
    <row r="140" spans="2:23" x14ac:dyDescent="0.25">
      <c r="B140" s="64"/>
      <c r="C140" s="47"/>
      <c r="D140" s="47"/>
      <c r="E140" s="47"/>
      <c r="F140" s="47"/>
      <c r="G140" s="47"/>
      <c r="H140" s="47"/>
      <c r="I140" s="47"/>
      <c r="J140" s="47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3"/>
    </row>
    <row r="141" spans="2:23" x14ac:dyDescent="0.25">
      <c r="B141" s="64"/>
      <c r="C141" s="47"/>
      <c r="D141" s="47"/>
      <c r="E141" s="47"/>
      <c r="F141" s="47"/>
      <c r="G141" s="47"/>
      <c r="H141" s="47"/>
      <c r="I141" s="47"/>
      <c r="J141" s="47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3"/>
    </row>
    <row r="142" spans="2:23" x14ac:dyDescent="0.25">
      <c r="B142" s="64"/>
      <c r="C142" s="47"/>
      <c r="D142" s="47"/>
      <c r="E142" s="47"/>
      <c r="F142" s="47"/>
      <c r="G142" s="47"/>
      <c r="H142" s="47"/>
      <c r="I142" s="47"/>
      <c r="J142" s="47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3"/>
    </row>
    <row r="143" spans="2:23" x14ac:dyDescent="0.25">
      <c r="B143" s="64"/>
      <c r="C143" s="47"/>
      <c r="D143" s="47"/>
      <c r="E143" s="47"/>
      <c r="F143" s="47"/>
      <c r="G143" s="47"/>
      <c r="H143" s="47"/>
      <c r="I143" s="47"/>
      <c r="J143" s="47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3"/>
    </row>
    <row r="144" spans="2:23" x14ac:dyDescent="0.25">
      <c r="B144" s="64"/>
      <c r="C144" s="47"/>
      <c r="D144" s="47"/>
      <c r="E144" s="47"/>
      <c r="F144" s="47"/>
      <c r="G144" s="47"/>
      <c r="H144" s="47"/>
      <c r="I144" s="47"/>
      <c r="J144" s="47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3"/>
    </row>
    <row r="145" spans="2:24" ht="15.75" thickBot="1" x14ac:dyDescent="0.3">
      <c r="B145" s="65"/>
      <c r="C145" s="66"/>
      <c r="D145" s="66"/>
      <c r="E145" s="66"/>
      <c r="F145" s="66"/>
      <c r="G145" s="66"/>
      <c r="H145" s="66"/>
      <c r="I145" s="66"/>
      <c r="J145" s="66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8"/>
    </row>
    <row r="147" spans="2:24" x14ac:dyDescent="0.25">
      <c r="B147" s="46"/>
      <c r="C147" s="47"/>
      <c r="D147" s="47"/>
      <c r="E147" s="47"/>
      <c r="F147" s="47"/>
      <c r="G147" s="47"/>
      <c r="H147" s="47"/>
      <c r="I147" s="47"/>
      <c r="J147" s="47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</row>
    <row r="148" spans="2:24" x14ac:dyDescent="0.25">
      <c r="B148" s="46"/>
      <c r="C148" s="47"/>
      <c r="D148" s="47"/>
      <c r="E148" s="47"/>
      <c r="F148" s="47"/>
      <c r="G148" s="47"/>
      <c r="H148" s="47"/>
      <c r="I148" s="47"/>
      <c r="J148" s="47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</row>
    <row r="149" spans="2:24" x14ac:dyDescent="0.25">
      <c r="B149" s="46"/>
      <c r="C149" s="47"/>
      <c r="D149" s="47"/>
      <c r="E149" s="47"/>
      <c r="F149" s="47"/>
      <c r="G149" s="47"/>
      <c r="H149" s="47"/>
      <c r="I149" s="47"/>
      <c r="J149" s="47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</row>
    <row r="150" spans="2:24" x14ac:dyDescent="0.25">
      <c r="B150" s="46"/>
      <c r="C150" s="47"/>
      <c r="D150" s="47"/>
      <c r="E150" s="47"/>
      <c r="F150" s="47"/>
      <c r="G150" s="47"/>
      <c r="H150" s="47"/>
      <c r="I150" s="47"/>
      <c r="J150" s="47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</row>
    <row r="151" spans="2:24" x14ac:dyDescent="0.25">
      <c r="B151" s="46"/>
      <c r="C151" s="47"/>
      <c r="D151" s="47"/>
      <c r="E151" s="47"/>
      <c r="F151" s="47"/>
      <c r="G151" s="47"/>
      <c r="H151" s="47"/>
      <c r="I151" s="47"/>
      <c r="J151" s="47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</row>
    <row r="152" spans="2:24" x14ac:dyDescent="0.25">
      <c r="B152" s="46"/>
      <c r="C152" s="47"/>
      <c r="D152" s="47"/>
      <c r="E152" s="47"/>
      <c r="F152" s="47"/>
      <c r="G152" s="47"/>
      <c r="H152" s="47"/>
      <c r="I152" s="47"/>
      <c r="J152" s="47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</row>
    <row r="153" spans="2:24" x14ac:dyDescent="0.25">
      <c r="B153" s="46"/>
      <c r="C153" s="47"/>
      <c r="D153" s="47"/>
      <c r="E153" s="47"/>
      <c r="F153" s="47"/>
      <c r="G153" s="47"/>
      <c r="H153" s="47"/>
      <c r="I153" s="47"/>
      <c r="J153" s="47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</row>
    <row r="154" spans="2:24" x14ac:dyDescent="0.25">
      <c r="B154" s="46"/>
      <c r="C154" s="47"/>
      <c r="D154" s="47"/>
      <c r="E154" s="47"/>
      <c r="F154" s="47"/>
      <c r="G154" s="47"/>
      <c r="H154" s="47"/>
      <c r="I154" s="47"/>
      <c r="J154" s="47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</row>
    <row r="155" spans="2:24" x14ac:dyDescent="0.25">
      <c r="B155" s="46"/>
      <c r="C155" s="47"/>
      <c r="D155" s="47"/>
      <c r="E155" s="47"/>
      <c r="F155" s="47"/>
      <c r="G155" s="47"/>
      <c r="H155" s="47"/>
      <c r="I155" s="47"/>
      <c r="J155" s="47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</row>
    <row r="156" spans="2:24" x14ac:dyDescent="0.25">
      <c r="B156" s="46"/>
      <c r="C156" s="47"/>
      <c r="D156" s="47"/>
      <c r="E156" s="47"/>
      <c r="F156" s="47"/>
      <c r="G156" s="47"/>
      <c r="H156" s="47"/>
      <c r="I156" s="47"/>
      <c r="J156" s="47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</row>
    <row r="157" spans="2:24" x14ac:dyDescent="0.25">
      <c r="B157" s="46"/>
      <c r="C157" s="47"/>
      <c r="D157" s="47"/>
      <c r="E157" s="47"/>
      <c r="F157" s="47"/>
      <c r="G157" s="47"/>
      <c r="H157" s="47"/>
      <c r="I157" s="47"/>
      <c r="J157" s="47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</row>
    <row r="158" spans="2:24" x14ac:dyDescent="0.25">
      <c r="B158" s="46"/>
      <c r="C158" s="47"/>
      <c r="D158" s="47"/>
      <c r="E158" s="47"/>
      <c r="F158" s="47"/>
      <c r="G158" s="47"/>
      <c r="H158" s="47"/>
      <c r="I158" s="47"/>
      <c r="J158" s="47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</row>
    <row r="159" spans="2:24" x14ac:dyDescent="0.25">
      <c r="B159" s="46"/>
      <c r="C159" s="47"/>
      <c r="D159" s="47"/>
      <c r="E159" s="47"/>
      <c r="F159" s="47"/>
      <c r="G159" s="47"/>
      <c r="H159" s="47"/>
      <c r="I159" s="47"/>
      <c r="J159" s="47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</row>
    <row r="160" spans="2:24" x14ac:dyDescent="0.25">
      <c r="B160" s="46"/>
      <c r="C160" s="47"/>
      <c r="D160" s="47"/>
      <c r="E160" s="47"/>
      <c r="F160" s="47"/>
      <c r="G160" s="47"/>
      <c r="H160" s="47"/>
      <c r="I160" s="47"/>
      <c r="J160" s="47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</row>
    <row r="161" spans="2:24" x14ac:dyDescent="0.25">
      <c r="B161" s="46"/>
      <c r="C161" s="47"/>
      <c r="D161" s="47"/>
      <c r="E161" s="47"/>
      <c r="F161" s="47"/>
      <c r="G161" s="47"/>
      <c r="H161" s="47"/>
      <c r="I161" s="47"/>
      <c r="J161" s="47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</row>
    <row r="162" spans="2:24" x14ac:dyDescent="0.25">
      <c r="B162" s="46"/>
      <c r="C162" s="47"/>
      <c r="D162" s="47"/>
      <c r="E162" s="47"/>
      <c r="F162" s="47"/>
      <c r="G162" s="47"/>
      <c r="H162" s="47"/>
      <c r="I162" s="47"/>
      <c r="J162" s="47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</row>
    <row r="163" spans="2:24" x14ac:dyDescent="0.25">
      <c r="B163" s="46"/>
      <c r="C163" s="47"/>
      <c r="D163" s="47"/>
      <c r="E163" s="47"/>
      <c r="F163" s="47"/>
      <c r="G163" s="47"/>
      <c r="H163" s="47"/>
      <c r="I163" s="47"/>
      <c r="J163" s="47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</row>
    <row r="164" spans="2:24" x14ac:dyDescent="0.25">
      <c r="B164" s="46"/>
      <c r="C164" s="47"/>
      <c r="D164" s="47"/>
      <c r="E164" s="47"/>
      <c r="F164" s="47"/>
      <c r="G164" s="47"/>
      <c r="H164" s="47"/>
      <c r="I164" s="47"/>
      <c r="J164" s="47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</row>
    <row r="165" spans="2:24" x14ac:dyDescent="0.25">
      <c r="B165" s="46"/>
      <c r="C165" s="47"/>
      <c r="D165" s="47"/>
      <c r="E165" s="47"/>
      <c r="F165" s="47"/>
      <c r="G165" s="47"/>
      <c r="H165" s="47"/>
      <c r="I165" s="47"/>
      <c r="J165" s="47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</row>
    <row r="166" spans="2:24" x14ac:dyDescent="0.25">
      <c r="B166" s="46"/>
      <c r="C166" s="47"/>
      <c r="D166" s="47"/>
      <c r="E166" s="47"/>
      <c r="F166" s="47"/>
      <c r="G166" s="47"/>
      <c r="H166" s="47"/>
      <c r="I166" s="47"/>
      <c r="J166" s="47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</row>
    <row r="167" spans="2:24" x14ac:dyDescent="0.25">
      <c r="B167" s="46"/>
      <c r="C167" s="47"/>
      <c r="D167" s="47"/>
      <c r="E167" s="47"/>
      <c r="F167" s="47"/>
      <c r="G167" s="47"/>
      <c r="H167" s="47"/>
      <c r="I167" s="47"/>
      <c r="J167" s="47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</row>
    <row r="168" spans="2:24" x14ac:dyDescent="0.25">
      <c r="B168" s="46"/>
      <c r="C168" s="47"/>
      <c r="D168" s="47"/>
      <c r="E168" s="47"/>
      <c r="F168" s="47"/>
      <c r="G168" s="47"/>
      <c r="H168" s="47"/>
      <c r="I168" s="47"/>
      <c r="J168" s="47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</row>
    <row r="169" spans="2:24" x14ac:dyDescent="0.25">
      <c r="B169" s="46"/>
      <c r="C169" s="47"/>
      <c r="D169" s="47"/>
      <c r="E169" s="47"/>
      <c r="F169" s="47"/>
      <c r="G169" s="47"/>
      <c r="H169" s="47"/>
      <c r="I169" s="47"/>
      <c r="J169" s="47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</row>
    <row r="170" spans="2:24" x14ac:dyDescent="0.25">
      <c r="B170" s="46"/>
      <c r="C170" s="47"/>
      <c r="D170" s="47"/>
      <c r="E170" s="47"/>
      <c r="F170" s="47"/>
      <c r="G170" s="47"/>
      <c r="H170" s="47"/>
      <c r="I170" s="47"/>
      <c r="J170" s="47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</row>
    <row r="171" spans="2:24" x14ac:dyDescent="0.25">
      <c r="B171" s="46"/>
      <c r="C171" s="47"/>
      <c r="D171" s="47"/>
      <c r="E171" s="47"/>
      <c r="F171" s="47"/>
      <c r="G171" s="47"/>
      <c r="H171" s="47"/>
      <c r="I171" s="47"/>
      <c r="J171" s="47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</row>
    <row r="172" spans="2:24" x14ac:dyDescent="0.25">
      <c r="B172" s="46"/>
      <c r="C172" s="47"/>
      <c r="D172" s="47"/>
      <c r="E172" s="47"/>
      <c r="F172" s="47"/>
      <c r="G172" s="47"/>
      <c r="H172" s="47"/>
      <c r="I172" s="47"/>
      <c r="J172" s="47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</row>
    <row r="173" spans="2:24" x14ac:dyDescent="0.25">
      <c r="B173" s="46"/>
      <c r="C173" s="47"/>
      <c r="D173" s="47"/>
      <c r="E173" s="47"/>
      <c r="F173" s="47"/>
      <c r="G173" s="47"/>
      <c r="H173" s="47"/>
      <c r="I173" s="47"/>
      <c r="J173" s="47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</row>
    <row r="174" spans="2:24" x14ac:dyDescent="0.25">
      <c r="B174" s="46"/>
      <c r="C174" s="47"/>
      <c r="D174" s="47"/>
      <c r="E174" s="47"/>
      <c r="F174" s="47"/>
      <c r="G174" s="47"/>
      <c r="H174" s="47"/>
      <c r="I174" s="47"/>
      <c r="J174" s="47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</row>
    <row r="175" spans="2:24" x14ac:dyDescent="0.25">
      <c r="B175" s="46"/>
      <c r="C175" s="47"/>
      <c r="D175" s="47"/>
      <c r="E175" s="47"/>
      <c r="F175" s="47"/>
      <c r="G175" s="47"/>
      <c r="H175" s="47"/>
      <c r="I175" s="47"/>
      <c r="J175" s="47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</row>
    <row r="176" spans="2:24" x14ac:dyDescent="0.25">
      <c r="B176" s="46"/>
      <c r="C176" s="47"/>
      <c r="D176" s="47"/>
      <c r="E176" s="47"/>
      <c r="F176" s="47"/>
      <c r="G176" s="47"/>
      <c r="H176" s="47"/>
      <c r="I176" s="47"/>
      <c r="J176" s="47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</row>
    <row r="177" spans="2:24" x14ac:dyDescent="0.25">
      <c r="B177" s="46"/>
      <c r="C177" s="47"/>
      <c r="D177" s="47"/>
      <c r="E177" s="47"/>
      <c r="F177" s="47"/>
      <c r="G177" s="47"/>
      <c r="H177" s="47"/>
      <c r="I177" s="47"/>
      <c r="J177" s="47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</row>
    <row r="178" spans="2:24" x14ac:dyDescent="0.25">
      <c r="B178" s="46"/>
      <c r="C178" s="47"/>
      <c r="D178" s="47"/>
      <c r="E178" s="47"/>
      <c r="F178" s="47"/>
      <c r="G178" s="47"/>
      <c r="H178" s="47"/>
      <c r="I178" s="47"/>
      <c r="J178" s="47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</row>
    <row r="179" spans="2:24" x14ac:dyDescent="0.25">
      <c r="B179" s="46"/>
      <c r="C179" s="47"/>
      <c r="D179" s="47"/>
      <c r="E179" s="47"/>
      <c r="F179" s="47"/>
      <c r="G179" s="47"/>
      <c r="H179" s="47"/>
      <c r="I179" s="47"/>
      <c r="J179" s="47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</row>
    <row r="180" spans="2:24" x14ac:dyDescent="0.25">
      <c r="B180" s="46"/>
      <c r="C180" s="47"/>
      <c r="D180" s="47"/>
      <c r="E180" s="47"/>
      <c r="F180" s="47"/>
      <c r="G180" s="47"/>
      <c r="H180" s="47"/>
      <c r="I180" s="47"/>
      <c r="J180" s="47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</row>
    <row r="181" spans="2:24" x14ac:dyDescent="0.25">
      <c r="B181" s="46"/>
      <c r="C181" s="47"/>
      <c r="D181" s="47"/>
      <c r="E181" s="47"/>
      <c r="F181" s="47"/>
      <c r="G181" s="47"/>
      <c r="H181" s="47"/>
      <c r="I181" s="47"/>
      <c r="J181" s="47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</row>
    <row r="182" spans="2:24" x14ac:dyDescent="0.25">
      <c r="B182" s="46"/>
      <c r="C182" s="47"/>
      <c r="D182" s="47"/>
      <c r="E182" s="47"/>
      <c r="F182" s="47"/>
      <c r="G182" s="47"/>
      <c r="H182" s="47"/>
      <c r="I182" s="47"/>
      <c r="J182" s="47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</row>
    <row r="183" spans="2:24" x14ac:dyDescent="0.25">
      <c r="B183" s="46"/>
      <c r="C183" s="47"/>
      <c r="D183" s="47"/>
      <c r="E183" s="47"/>
      <c r="F183" s="47"/>
      <c r="G183" s="47"/>
      <c r="H183" s="47"/>
      <c r="I183" s="47"/>
      <c r="J183" s="47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</row>
    <row r="184" spans="2:24" x14ac:dyDescent="0.25">
      <c r="B184" s="46"/>
      <c r="C184" s="47"/>
      <c r="D184" s="47"/>
      <c r="E184" s="47"/>
      <c r="F184" s="47"/>
      <c r="G184" s="47"/>
      <c r="H184" s="47"/>
      <c r="I184" s="47"/>
      <c r="J184" s="47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</row>
    <row r="185" spans="2:24" x14ac:dyDescent="0.25">
      <c r="B185" s="46"/>
      <c r="C185" s="47"/>
      <c r="D185" s="47"/>
      <c r="E185" s="47"/>
      <c r="F185" s="47"/>
      <c r="G185" s="47"/>
      <c r="H185" s="47"/>
      <c r="I185" s="47"/>
      <c r="J185" s="47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</row>
    <row r="186" spans="2:24" x14ac:dyDescent="0.25">
      <c r="B186" s="46"/>
      <c r="C186" s="47"/>
      <c r="D186" s="47"/>
      <c r="E186" s="47"/>
      <c r="F186" s="47"/>
      <c r="G186" s="47"/>
      <c r="H186" s="47"/>
      <c r="I186" s="47"/>
      <c r="J186" s="47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</row>
    <row r="187" spans="2:24" x14ac:dyDescent="0.25">
      <c r="B187" s="46"/>
      <c r="C187" s="47"/>
      <c r="D187" s="47"/>
      <c r="E187" s="47"/>
      <c r="F187" s="47"/>
      <c r="G187" s="47"/>
      <c r="H187" s="47"/>
      <c r="I187" s="47"/>
      <c r="J187" s="47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</row>
    <row r="188" spans="2:24" x14ac:dyDescent="0.25">
      <c r="B188" s="46"/>
      <c r="C188" s="47"/>
      <c r="D188" s="47"/>
      <c r="E188" s="47"/>
      <c r="F188" s="47"/>
      <c r="G188" s="47"/>
      <c r="H188" s="47"/>
      <c r="I188" s="47"/>
      <c r="J188" s="47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</row>
    <row r="189" spans="2:24" x14ac:dyDescent="0.25">
      <c r="B189" s="46"/>
      <c r="C189" s="47"/>
      <c r="D189" s="47"/>
      <c r="E189" s="47"/>
      <c r="F189" s="47"/>
      <c r="G189" s="47"/>
      <c r="H189" s="47"/>
      <c r="I189" s="47"/>
      <c r="J189" s="47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</row>
    <row r="190" spans="2:24" x14ac:dyDescent="0.25">
      <c r="B190" s="46"/>
      <c r="C190" s="47"/>
      <c r="D190" s="47"/>
      <c r="E190" s="47"/>
      <c r="F190" s="47"/>
      <c r="G190" s="47"/>
      <c r="H190" s="47"/>
      <c r="I190" s="47"/>
      <c r="J190" s="47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</row>
    <row r="191" spans="2:24" x14ac:dyDescent="0.25">
      <c r="B191" s="46"/>
      <c r="C191" s="47"/>
      <c r="D191" s="47"/>
      <c r="E191" s="47"/>
      <c r="F191" s="47"/>
      <c r="G191" s="47"/>
      <c r="H191" s="47"/>
      <c r="I191" s="47"/>
      <c r="J191" s="47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</row>
    <row r="192" spans="2:24" x14ac:dyDescent="0.25">
      <c r="B192" s="46"/>
      <c r="C192" s="47"/>
      <c r="D192" s="47"/>
      <c r="E192" s="47"/>
      <c r="F192" s="47"/>
      <c r="G192" s="47"/>
      <c r="H192" s="47"/>
      <c r="I192" s="47"/>
      <c r="J192" s="47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</row>
    <row r="193" spans="2:24" x14ac:dyDescent="0.25">
      <c r="B193" s="46"/>
      <c r="C193" s="47"/>
      <c r="D193" s="47"/>
      <c r="E193" s="47"/>
      <c r="F193" s="47"/>
      <c r="G193" s="47"/>
      <c r="H193" s="47"/>
      <c r="I193" s="47"/>
      <c r="J193" s="47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</row>
    <row r="194" spans="2:24" x14ac:dyDescent="0.25">
      <c r="B194" s="46"/>
      <c r="C194" s="47"/>
      <c r="D194" s="47"/>
      <c r="E194" s="47"/>
      <c r="F194" s="47"/>
      <c r="G194" s="47"/>
      <c r="H194" s="47"/>
      <c r="I194" s="47"/>
      <c r="J194" s="47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</row>
    <row r="195" spans="2:24" x14ac:dyDescent="0.25">
      <c r="B195" s="46"/>
      <c r="C195" s="47"/>
      <c r="D195" s="47"/>
      <c r="E195" s="47"/>
      <c r="F195" s="47"/>
      <c r="G195" s="47"/>
      <c r="H195" s="47"/>
      <c r="I195" s="47"/>
      <c r="J195" s="47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</row>
    <row r="196" spans="2:24" x14ac:dyDescent="0.25">
      <c r="B196" s="46"/>
      <c r="C196" s="47"/>
      <c r="D196" s="47"/>
      <c r="E196" s="47"/>
      <c r="F196" s="47"/>
      <c r="G196" s="47"/>
      <c r="H196" s="47"/>
      <c r="I196" s="47"/>
      <c r="J196" s="47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</row>
    <row r="197" spans="2:24" x14ac:dyDescent="0.25">
      <c r="B197" s="46"/>
      <c r="C197" s="47"/>
      <c r="D197" s="47"/>
      <c r="E197" s="47"/>
      <c r="F197" s="47"/>
      <c r="G197" s="47"/>
      <c r="H197" s="47"/>
      <c r="I197" s="47"/>
      <c r="J197" s="47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</row>
    <row r="198" spans="2:24" x14ac:dyDescent="0.25">
      <c r="B198" s="46"/>
      <c r="C198" s="47"/>
      <c r="D198" s="47"/>
      <c r="E198" s="47"/>
      <c r="F198" s="47"/>
      <c r="G198" s="47"/>
      <c r="H198" s="47"/>
      <c r="I198" s="47"/>
      <c r="J198" s="47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</row>
    <row r="199" spans="2:24" x14ac:dyDescent="0.25">
      <c r="B199" s="46"/>
      <c r="C199" s="47"/>
      <c r="D199" s="47"/>
      <c r="E199" s="47"/>
      <c r="F199" s="47"/>
      <c r="G199" s="47"/>
      <c r="H199" s="47"/>
      <c r="I199" s="47"/>
      <c r="J199" s="47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</row>
    <row r="200" spans="2:24" x14ac:dyDescent="0.25">
      <c r="B200" s="46"/>
      <c r="C200" s="47"/>
      <c r="D200" s="47"/>
      <c r="E200" s="47"/>
      <c r="F200" s="47"/>
      <c r="G200" s="47"/>
      <c r="H200" s="47"/>
      <c r="I200" s="47"/>
      <c r="J200" s="47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</row>
    <row r="201" spans="2:24" x14ac:dyDescent="0.25">
      <c r="B201" s="46"/>
      <c r="C201" s="47"/>
      <c r="D201" s="47"/>
      <c r="E201" s="47"/>
      <c r="F201" s="47"/>
      <c r="G201" s="47"/>
      <c r="H201" s="47"/>
      <c r="I201" s="47"/>
      <c r="J201" s="47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</row>
    <row r="202" spans="2:24" x14ac:dyDescent="0.25">
      <c r="B202" s="46"/>
      <c r="C202" s="47"/>
      <c r="D202" s="47"/>
      <c r="E202" s="47"/>
      <c r="F202" s="47"/>
      <c r="G202" s="47"/>
      <c r="H202" s="47"/>
      <c r="I202" s="47"/>
      <c r="J202" s="47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</row>
    <row r="203" spans="2:24" x14ac:dyDescent="0.25">
      <c r="B203" s="46"/>
      <c r="C203" s="47"/>
      <c r="D203" s="47"/>
      <c r="E203" s="47"/>
      <c r="F203" s="47"/>
      <c r="G203" s="47"/>
      <c r="H203" s="47"/>
      <c r="I203" s="47"/>
      <c r="J203" s="47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</row>
    <row r="204" spans="2:24" x14ac:dyDescent="0.25">
      <c r="B204" s="46"/>
      <c r="C204" s="47"/>
      <c r="D204" s="47"/>
      <c r="E204" s="47"/>
      <c r="F204" s="47"/>
      <c r="G204" s="47"/>
      <c r="H204" s="47"/>
      <c r="I204" s="47"/>
      <c r="J204" s="47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</row>
    <row r="205" spans="2:24" x14ac:dyDescent="0.25">
      <c r="B205" s="46"/>
      <c r="C205" s="47"/>
      <c r="D205" s="47"/>
      <c r="E205" s="47"/>
      <c r="F205" s="47"/>
      <c r="G205" s="47"/>
      <c r="H205" s="47"/>
      <c r="I205" s="47"/>
      <c r="J205" s="47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</row>
    <row r="206" spans="2:24" x14ac:dyDescent="0.25">
      <c r="B206" s="46"/>
      <c r="C206" s="47"/>
      <c r="D206" s="47"/>
      <c r="E206" s="47"/>
      <c r="F206" s="47"/>
      <c r="G206" s="47"/>
      <c r="H206" s="47"/>
      <c r="I206" s="47"/>
      <c r="J206" s="47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</row>
    <row r="207" spans="2:24" x14ac:dyDescent="0.25">
      <c r="B207" s="46"/>
      <c r="C207" s="47"/>
      <c r="D207" s="47"/>
      <c r="E207" s="47"/>
      <c r="F207" s="47"/>
      <c r="G207" s="47"/>
      <c r="H207" s="47"/>
      <c r="I207" s="47"/>
      <c r="J207" s="47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</row>
    <row r="208" spans="2:24" x14ac:dyDescent="0.25">
      <c r="B208" s="46"/>
      <c r="C208" s="47"/>
      <c r="D208" s="47"/>
      <c r="E208" s="47"/>
      <c r="F208" s="47"/>
      <c r="G208" s="47"/>
      <c r="H208" s="47"/>
      <c r="I208" s="47"/>
      <c r="J208" s="47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</row>
    <row r="209" spans="2:24" x14ac:dyDescent="0.25">
      <c r="B209" s="46"/>
      <c r="C209" s="47"/>
      <c r="D209" s="47"/>
      <c r="E209" s="47"/>
      <c r="F209" s="47"/>
      <c r="G209" s="47"/>
      <c r="H209" s="47"/>
      <c r="I209" s="47"/>
      <c r="J209" s="47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</row>
    <row r="210" spans="2:24" x14ac:dyDescent="0.25">
      <c r="B210" s="46"/>
      <c r="C210" s="47"/>
      <c r="D210" s="47"/>
      <c r="E210" s="47"/>
      <c r="F210" s="47"/>
      <c r="G210" s="47"/>
      <c r="H210" s="47"/>
      <c r="I210" s="47"/>
      <c r="J210" s="47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</row>
    <row r="211" spans="2:24" x14ac:dyDescent="0.25">
      <c r="B211" s="46"/>
      <c r="C211" s="47"/>
      <c r="D211" s="47"/>
      <c r="E211" s="47"/>
      <c r="F211" s="47"/>
      <c r="G211" s="47"/>
      <c r="H211" s="47"/>
      <c r="I211" s="47"/>
      <c r="J211" s="47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</row>
    <row r="212" spans="2:24" x14ac:dyDescent="0.25">
      <c r="B212" s="46"/>
      <c r="C212" s="47"/>
      <c r="D212" s="47"/>
      <c r="E212" s="47"/>
      <c r="F212" s="47"/>
      <c r="G212" s="47"/>
      <c r="H212" s="47"/>
      <c r="I212" s="47"/>
      <c r="J212" s="47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</row>
    <row r="213" spans="2:24" x14ac:dyDescent="0.25">
      <c r="B213" s="46"/>
      <c r="C213" s="47"/>
      <c r="D213" s="47"/>
      <c r="E213" s="47"/>
      <c r="F213" s="47"/>
      <c r="G213" s="47"/>
      <c r="H213" s="47"/>
      <c r="I213" s="47"/>
      <c r="J213" s="47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</row>
    <row r="214" spans="2:24" x14ac:dyDescent="0.25">
      <c r="B214" s="46"/>
      <c r="C214" s="47"/>
      <c r="D214" s="47"/>
      <c r="E214" s="47"/>
      <c r="F214" s="47"/>
      <c r="G214" s="47"/>
      <c r="H214" s="47"/>
      <c r="I214" s="47"/>
      <c r="J214" s="47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</row>
    <row r="215" spans="2:24" x14ac:dyDescent="0.25">
      <c r="B215" s="46"/>
      <c r="C215" s="47"/>
      <c r="D215" s="47"/>
      <c r="E215" s="47"/>
      <c r="F215" s="47"/>
      <c r="G215" s="47"/>
      <c r="H215" s="47"/>
      <c r="I215" s="47"/>
      <c r="J215" s="47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</row>
    <row r="216" spans="2:24" x14ac:dyDescent="0.25">
      <c r="B216" s="46"/>
      <c r="C216" s="47"/>
      <c r="D216" s="47"/>
      <c r="E216" s="47"/>
      <c r="F216" s="47"/>
      <c r="G216" s="47"/>
      <c r="H216" s="47"/>
      <c r="I216" s="47"/>
      <c r="J216" s="47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</row>
    <row r="217" spans="2:24" x14ac:dyDescent="0.25">
      <c r="B217" s="46"/>
      <c r="C217" s="47"/>
      <c r="D217" s="47"/>
      <c r="E217" s="47"/>
      <c r="F217" s="47"/>
      <c r="G217" s="47"/>
      <c r="H217" s="47"/>
      <c r="I217" s="47"/>
      <c r="J217" s="47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</row>
    <row r="218" spans="2:24" x14ac:dyDescent="0.25">
      <c r="B218" s="46"/>
      <c r="C218" s="47"/>
      <c r="D218" s="47"/>
      <c r="E218" s="47"/>
      <c r="F218" s="47"/>
      <c r="G218" s="47"/>
      <c r="H218" s="47"/>
      <c r="I218" s="47"/>
      <c r="J218" s="47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</row>
    <row r="219" spans="2:24" x14ac:dyDescent="0.25">
      <c r="B219" s="46"/>
      <c r="C219" s="47"/>
      <c r="D219" s="47"/>
      <c r="E219" s="47"/>
      <c r="F219" s="47"/>
      <c r="G219" s="47"/>
      <c r="H219" s="47"/>
      <c r="I219" s="47"/>
      <c r="J219" s="47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</row>
    <row r="220" spans="2:24" x14ac:dyDescent="0.25">
      <c r="B220" s="46"/>
      <c r="C220" s="47"/>
      <c r="D220" s="47"/>
      <c r="E220" s="47"/>
      <c r="F220" s="47"/>
      <c r="G220" s="47"/>
      <c r="H220" s="47"/>
      <c r="I220" s="47"/>
      <c r="J220" s="47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</row>
    <row r="221" spans="2:24" x14ac:dyDescent="0.25">
      <c r="B221" s="46"/>
      <c r="C221" s="47"/>
      <c r="D221" s="47"/>
      <c r="E221" s="47"/>
      <c r="F221" s="47"/>
      <c r="G221" s="47"/>
      <c r="H221" s="47"/>
      <c r="I221" s="47"/>
      <c r="J221" s="47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</row>
    <row r="222" spans="2:24" x14ac:dyDescent="0.25">
      <c r="B222" s="46"/>
      <c r="C222" s="47"/>
      <c r="D222" s="47"/>
      <c r="E222" s="47"/>
      <c r="F222" s="47"/>
      <c r="G222" s="47"/>
      <c r="H222" s="47"/>
      <c r="I222" s="47"/>
      <c r="J222" s="47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</row>
    <row r="223" spans="2:24" x14ac:dyDescent="0.25">
      <c r="B223" s="46"/>
      <c r="C223" s="47"/>
      <c r="D223" s="47"/>
      <c r="E223" s="47"/>
      <c r="F223" s="47"/>
      <c r="G223" s="47"/>
      <c r="H223" s="47"/>
      <c r="I223" s="47"/>
      <c r="J223" s="47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</row>
    <row r="224" spans="2:24" x14ac:dyDescent="0.25">
      <c r="B224" s="46"/>
      <c r="C224" s="47"/>
      <c r="D224" s="47"/>
      <c r="E224" s="47"/>
      <c r="F224" s="47"/>
      <c r="G224" s="47"/>
      <c r="H224" s="47"/>
      <c r="I224" s="47"/>
      <c r="J224" s="47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</row>
    <row r="225" spans="2:24" x14ac:dyDescent="0.25">
      <c r="B225" s="46"/>
      <c r="C225" s="47"/>
      <c r="D225" s="47"/>
      <c r="E225" s="47"/>
      <c r="F225" s="47"/>
      <c r="G225" s="47"/>
      <c r="H225" s="47"/>
      <c r="I225" s="47"/>
      <c r="J225" s="47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</row>
    <row r="226" spans="2:24" x14ac:dyDescent="0.25">
      <c r="B226" s="46"/>
      <c r="C226" s="47"/>
      <c r="D226" s="47"/>
      <c r="E226" s="47"/>
      <c r="F226" s="47"/>
      <c r="G226" s="47"/>
      <c r="H226" s="47"/>
      <c r="I226" s="47"/>
      <c r="J226" s="47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</row>
    <row r="227" spans="2:24" x14ac:dyDescent="0.25">
      <c r="B227" s="46"/>
      <c r="C227" s="47"/>
      <c r="D227" s="47"/>
      <c r="E227" s="47"/>
      <c r="F227" s="47"/>
      <c r="G227" s="47"/>
      <c r="H227" s="47"/>
      <c r="I227" s="47"/>
      <c r="J227" s="47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</row>
    <row r="228" spans="2:24" x14ac:dyDescent="0.25">
      <c r="B228" s="46"/>
      <c r="C228" s="47"/>
      <c r="D228" s="47"/>
      <c r="E228" s="47"/>
      <c r="F228" s="47"/>
      <c r="G228" s="47"/>
      <c r="H228" s="47"/>
      <c r="I228" s="47"/>
      <c r="J228" s="47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</row>
    <row r="229" spans="2:24" x14ac:dyDescent="0.25">
      <c r="B229" s="46"/>
      <c r="C229" s="47"/>
      <c r="D229" s="47"/>
      <c r="E229" s="47"/>
      <c r="F229" s="47"/>
      <c r="G229" s="47"/>
      <c r="H229" s="47"/>
      <c r="I229" s="47"/>
      <c r="J229" s="47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</row>
    <row r="230" spans="2:24" x14ac:dyDescent="0.25">
      <c r="B230" s="46"/>
      <c r="C230" s="47"/>
      <c r="D230" s="47"/>
      <c r="E230" s="47"/>
      <c r="F230" s="47"/>
      <c r="G230" s="47"/>
      <c r="H230" s="47"/>
      <c r="I230" s="47"/>
      <c r="J230" s="47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</row>
    <row r="231" spans="2:24" x14ac:dyDescent="0.25">
      <c r="B231" s="46"/>
      <c r="C231" s="47"/>
      <c r="D231" s="47"/>
      <c r="E231" s="47"/>
      <c r="F231" s="47"/>
      <c r="G231" s="47"/>
      <c r="H231" s="47"/>
      <c r="I231" s="47"/>
      <c r="J231" s="47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</row>
    <row r="232" spans="2:24" x14ac:dyDescent="0.25">
      <c r="B232" s="46"/>
      <c r="C232" s="47"/>
      <c r="D232" s="47"/>
      <c r="E232" s="47"/>
      <c r="F232" s="47"/>
      <c r="G232" s="47"/>
      <c r="H232" s="47"/>
      <c r="I232" s="47"/>
      <c r="J232" s="47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</row>
    <row r="233" spans="2:24" x14ac:dyDescent="0.25">
      <c r="B233" s="46"/>
      <c r="C233" s="47"/>
      <c r="D233" s="47"/>
      <c r="E233" s="47"/>
      <c r="F233" s="47"/>
      <c r="G233" s="47"/>
      <c r="H233" s="47"/>
      <c r="I233" s="47"/>
      <c r="J233" s="47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</row>
    <row r="234" spans="2:24" x14ac:dyDescent="0.25">
      <c r="B234" s="46"/>
      <c r="C234" s="47"/>
      <c r="D234" s="47"/>
      <c r="E234" s="47"/>
      <c r="F234" s="47"/>
      <c r="G234" s="47"/>
      <c r="H234" s="47"/>
      <c r="I234" s="47"/>
      <c r="J234" s="47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</row>
    <row r="235" spans="2:24" x14ac:dyDescent="0.25">
      <c r="B235" s="46"/>
      <c r="C235" s="47"/>
      <c r="D235" s="47"/>
      <c r="E235" s="47"/>
      <c r="F235" s="47"/>
      <c r="G235" s="47"/>
      <c r="H235" s="47"/>
      <c r="I235" s="47"/>
      <c r="J235" s="47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</row>
    <row r="236" spans="2:24" x14ac:dyDescent="0.25">
      <c r="B236" s="46"/>
      <c r="C236" s="47"/>
      <c r="D236" s="47"/>
      <c r="E236" s="47"/>
      <c r="F236" s="47"/>
      <c r="G236" s="47"/>
      <c r="H236" s="47"/>
      <c r="I236" s="47"/>
      <c r="J236" s="47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</row>
    <row r="237" spans="2:24" x14ac:dyDescent="0.25">
      <c r="B237" s="46"/>
      <c r="C237" s="47"/>
      <c r="D237" s="47"/>
      <c r="E237" s="47"/>
      <c r="F237" s="47"/>
      <c r="G237" s="47"/>
      <c r="H237" s="47"/>
      <c r="I237" s="47"/>
      <c r="J237" s="47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</row>
    <row r="238" spans="2:24" x14ac:dyDescent="0.25">
      <c r="B238" s="46"/>
      <c r="C238" s="47"/>
      <c r="D238" s="47"/>
      <c r="E238" s="47"/>
      <c r="F238" s="47"/>
      <c r="G238" s="47"/>
      <c r="H238" s="47"/>
      <c r="I238" s="47"/>
      <c r="J238" s="47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</row>
    <row r="239" spans="2:24" x14ac:dyDescent="0.25">
      <c r="B239" s="46"/>
      <c r="C239" s="47"/>
      <c r="D239" s="47"/>
      <c r="E239" s="47"/>
      <c r="F239" s="47"/>
      <c r="G239" s="47"/>
      <c r="H239" s="47"/>
      <c r="I239" s="47"/>
      <c r="J239" s="47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</row>
    <row r="240" spans="2:24" x14ac:dyDescent="0.25">
      <c r="B240" s="46"/>
      <c r="C240" s="47"/>
      <c r="D240" s="47"/>
      <c r="E240" s="47"/>
      <c r="F240" s="47"/>
      <c r="G240" s="47"/>
      <c r="H240" s="47"/>
      <c r="I240" s="47"/>
      <c r="J240" s="47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</row>
    <row r="241" spans="2:24" x14ac:dyDescent="0.25">
      <c r="B241" s="46"/>
      <c r="C241" s="47"/>
      <c r="D241" s="47"/>
      <c r="E241" s="47"/>
      <c r="F241" s="47"/>
      <c r="G241" s="47"/>
      <c r="H241" s="47"/>
      <c r="I241" s="47"/>
      <c r="J241" s="47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</row>
    <row r="242" spans="2:24" x14ac:dyDescent="0.25">
      <c r="B242" s="46"/>
      <c r="C242" s="47"/>
      <c r="D242" s="47"/>
      <c r="E242" s="47"/>
      <c r="F242" s="47"/>
      <c r="G242" s="47"/>
      <c r="H242" s="47"/>
      <c r="I242" s="47"/>
      <c r="J242" s="47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</row>
    <row r="243" spans="2:24" x14ac:dyDescent="0.25">
      <c r="B243" s="46"/>
      <c r="C243" s="47"/>
      <c r="D243" s="47"/>
      <c r="E243" s="47"/>
      <c r="F243" s="47"/>
      <c r="G243" s="47"/>
      <c r="H243" s="47"/>
      <c r="I243" s="47"/>
      <c r="J243" s="47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</row>
    <row r="244" spans="2:24" x14ac:dyDescent="0.25">
      <c r="B244" s="46"/>
      <c r="C244" s="47"/>
      <c r="D244" s="47"/>
      <c r="E244" s="47"/>
      <c r="F244" s="47"/>
      <c r="G244" s="47"/>
      <c r="H244" s="47"/>
      <c r="I244" s="47"/>
      <c r="J244" s="47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</row>
    <row r="245" spans="2:24" x14ac:dyDescent="0.25">
      <c r="B245" s="46"/>
      <c r="C245" s="47"/>
      <c r="D245" s="47"/>
      <c r="E245" s="47"/>
      <c r="F245" s="47"/>
      <c r="G245" s="47"/>
      <c r="H245" s="47"/>
      <c r="I245" s="47"/>
      <c r="J245" s="47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</row>
    <row r="246" spans="2:24" x14ac:dyDescent="0.25">
      <c r="B246" s="46"/>
      <c r="C246" s="47"/>
      <c r="D246" s="47"/>
      <c r="E246" s="47"/>
      <c r="F246" s="47"/>
      <c r="G246" s="47"/>
      <c r="H246" s="47"/>
      <c r="I246" s="47"/>
      <c r="J246" s="47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</row>
    <row r="247" spans="2:24" x14ac:dyDescent="0.25">
      <c r="B247" s="46"/>
      <c r="C247" s="47"/>
      <c r="D247" s="47"/>
      <c r="E247" s="47"/>
      <c r="F247" s="47"/>
      <c r="G247" s="47"/>
      <c r="H247" s="47"/>
      <c r="I247" s="47"/>
      <c r="J247" s="47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</row>
    <row r="248" spans="2:24" x14ac:dyDescent="0.25">
      <c r="B248" s="46"/>
      <c r="C248" s="47"/>
      <c r="D248" s="47"/>
      <c r="E248" s="47"/>
      <c r="F248" s="47"/>
      <c r="G248" s="47"/>
      <c r="H248" s="47"/>
      <c r="I248" s="47"/>
      <c r="J248" s="47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</row>
    <row r="249" spans="2:24" x14ac:dyDescent="0.25">
      <c r="B249" s="46"/>
      <c r="C249" s="47"/>
      <c r="D249" s="47"/>
      <c r="E249" s="47"/>
      <c r="F249" s="47"/>
      <c r="G249" s="47"/>
      <c r="H249" s="47"/>
      <c r="I249" s="47"/>
      <c r="J249" s="47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</row>
    <row r="250" spans="2:24" x14ac:dyDescent="0.25">
      <c r="B250" s="46"/>
      <c r="C250" s="47"/>
      <c r="D250" s="47"/>
      <c r="E250" s="47"/>
      <c r="F250" s="47"/>
      <c r="G250" s="47"/>
      <c r="H250" s="47"/>
      <c r="I250" s="47"/>
      <c r="J250" s="47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</row>
    <row r="251" spans="2:24" x14ac:dyDescent="0.25">
      <c r="B251" s="46"/>
      <c r="C251" s="47"/>
      <c r="D251" s="47"/>
      <c r="E251" s="47"/>
      <c r="F251" s="47"/>
      <c r="G251" s="47"/>
      <c r="H251" s="47"/>
      <c r="I251" s="47"/>
      <c r="J251" s="47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</row>
    <row r="252" spans="2:24" x14ac:dyDescent="0.25">
      <c r="B252" s="46"/>
      <c r="C252" s="47"/>
      <c r="D252" s="47"/>
      <c r="E252" s="47"/>
      <c r="F252" s="47"/>
      <c r="G252" s="47"/>
      <c r="H252" s="47"/>
      <c r="I252" s="47"/>
      <c r="J252" s="47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</row>
    <row r="253" spans="2:24" x14ac:dyDescent="0.25">
      <c r="B253" s="46"/>
      <c r="C253" s="47"/>
      <c r="D253" s="47"/>
      <c r="E253" s="47"/>
      <c r="F253" s="47"/>
      <c r="G253" s="47"/>
      <c r="H253" s="47"/>
      <c r="I253" s="47"/>
      <c r="J253" s="47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</row>
    <row r="254" spans="2:24" x14ac:dyDescent="0.25">
      <c r="B254" s="46"/>
      <c r="C254" s="47"/>
      <c r="D254" s="47"/>
      <c r="E254" s="47"/>
      <c r="F254" s="47"/>
      <c r="G254" s="47"/>
      <c r="H254" s="47"/>
      <c r="I254" s="47"/>
      <c r="J254" s="47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</row>
    <row r="255" spans="2:24" x14ac:dyDescent="0.25">
      <c r="B255" s="46"/>
      <c r="C255" s="47"/>
      <c r="D255" s="47"/>
      <c r="E255" s="47"/>
      <c r="F255" s="47"/>
      <c r="G255" s="47"/>
      <c r="H255" s="47"/>
      <c r="I255" s="47"/>
      <c r="J255" s="47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</row>
    <row r="256" spans="2:24" x14ac:dyDescent="0.25">
      <c r="B256" s="46"/>
      <c r="C256" s="47"/>
      <c r="D256" s="47"/>
      <c r="E256" s="47"/>
      <c r="F256" s="47"/>
      <c r="G256" s="47"/>
      <c r="H256" s="47"/>
      <c r="I256" s="47"/>
      <c r="J256" s="47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</row>
    <row r="257" spans="2:24" x14ac:dyDescent="0.25">
      <c r="B257" s="46"/>
      <c r="C257" s="47"/>
      <c r="D257" s="47"/>
      <c r="E257" s="47"/>
      <c r="F257" s="47"/>
      <c r="G257" s="47"/>
      <c r="H257" s="47"/>
      <c r="I257" s="47"/>
      <c r="J257" s="47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</row>
    <row r="258" spans="2:24" x14ac:dyDescent="0.25">
      <c r="B258" s="46"/>
      <c r="C258" s="47"/>
      <c r="D258" s="47"/>
      <c r="E258" s="47"/>
      <c r="F258" s="47"/>
      <c r="G258" s="47"/>
      <c r="H258" s="47"/>
      <c r="I258" s="47"/>
      <c r="J258" s="47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</row>
    <row r="259" spans="2:24" x14ac:dyDescent="0.25">
      <c r="B259" s="46"/>
      <c r="C259" s="47"/>
      <c r="D259" s="47"/>
      <c r="E259" s="47"/>
      <c r="F259" s="47"/>
      <c r="G259" s="47"/>
      <c r="H259" s="47"/>
      <c r="I259" s="47"/>
      <c r="J259" s="47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</row>
    <row r="260" spans="2:24" x14ac:dyDescent="0.25">
      <c r="B260" s="46"/>
      <c r="C260" s="47"/>
      <c r="D260" s="47"/>
      <c r="E260" s="47"/>
      <c r="F260" s="47"/>
      <c r="G260" s="47"/>
      <c r="H260" s="47"/>
      <c r="I260" s="47"/>
      <c r="J260" s="47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</row>
    <row r="261" spans="2:24" x14ac:dyDescent="0.25">
      <c r="B261" s="46"/>
      <c r="C261" s="47"/>
      <c r="D261" s="47"/>
      <c r="E261" s="47"/>
      <c r="F261" s="47"/>
      <c r="G261" s="47"/>
      <c r="H261" s="47"/>
      <c r="I261" s="47"/>
      <c r="J261" s="47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</row>
    <row r="262" spans="2:24" x14ac:dyDescent="0.25">
      <c r="B262" s="46"/>
      <c r="C262" s="47"/>
      <c r="D262" s="47"/>
      <c r="E262" s="47"/>
      <c r="F262" s="47"/>
      <c r="G262" s="47"/>
      <c r="H262" s="47"/>
      <c r="I262" s="47"/>
      <c r="J262" s="47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</row>
    <row r="263" spans="2:24" x14ac:dyDescent="0.25">
      <c r="B263" s="46"/>
      <c r="C263" s="47"/>
      <c r="D263" s="47"/>
      <c r="E263" s="47"/>
      <c r="F263" s="47"/>
      <c r="G263" s="47"/>
      <c r="H263" s="47"/>
      <c r="I263" s="47"/>
      <c r="J263" s="47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</row>
    <row r="264" spans="2:24" x14ac:dyDescent="0.25">
      <c r="B264" s="46"/>
      <c r="C264" s="47"/>
      <c r="D264" s="47"/>
      <c r="E264" s="47"/>
      <c r="F264" s="47"/>
      <c r="G264" s="47"/>
      <c r="H264" s="47"/>
      <c r="I264" s="47"/>
      <c r="J264" s="47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</row>
    <row r="265" spans="2:24" x14ac:dyDescent="0.25">
      <c r="B265" s="46"/>
      <c r="C265" s="47"/>
      <c r="D265" s="47"/>
      <c r="E265" s="47"/>
      <c r="F265" s="47"/>
      <c r="G265" s="47"/>
      <c r="H265" s="47"/>
      <c r="I265" s="47"/>
      <c r="J265" s="47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</row>
    <row r="266" spans="2:24" x14ac:dyDescent="0.25">
      <c r="B266" s="46"/>
      <c r="C266" s="47"/>
      <c r="D266" s="47"/>
      <c r="E266" s="47"/>
      <c r="F266" s="47"/>
      <c r="G266" s="47"/>
      <c r="H266" s="47"/>
      <c r="I266" s="47"/>
      <c r="J266" s="47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</row>
    <row r="267" spans="2:24" x14ac:dyDescent="0.25">
      <c r="B267" s="46"/>
      <c r="C267" s="47"/>
      <c r="D267" s="47"/>
      <c r="E267" s="47"/>
      <c r="F267" s="47"/>
      <c r="G267" s="47"/>
      <c r="H267" s="47"/>
      <c r="I267" s="47"/>
      <c r="J267" s="47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</row>
    <row r="268" spans="2:24" x14ac:dyDescent="0.25">
      <c r="B268" s="46"/>
      <c r="C268" s="47"/>
      <c r="D268" s="47"/>
      <c r="E268" s="47"/>
      <c r="F268" s="47"/>
      <c r="G268" s="47"/>
      <c r="H268" s="47"/>
      <c r="I268" s="47"/>
      <c r="J268" s="47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</row>
    <row r="269" spans="2:24" x14ac:dyDescent="0.25">
      <c r="B269" s="46"/>
      <c r="C269" s="47"/>
      <c r="D269" s="47"/>
      <c r="E269" s="47"/>
      <c r="F269" s="47"/>
      <c r="G269" s="47"/>
      <c r="H269" s="47"/>
      <c r="I269" s="47"/>
      <c r="J269" s="47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</row>
    <row r="270" spans="2:24" x14ac:dyDescent="0.25">
      <c r="B270" s="46"/>
      <c r="C270" s="47"/>
      <c r="D270" s="47"/>
      <c r="E270" s="47"/>
      <c r="F270" s="47"/>
      <c r="G270" s="47"/>
      <c r="H270" s="47"/>
      <c r="I270" s="47"/>
      <c r="J270" s="47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</row>
    <row r="271" spans="2:24" x14ac:dyDescent="0.25">
      <c r="B271" s="46"/>
      <c r="C271" s="47"/>
      <c r="D271" s="47"/>
      <c r="E271" s="47"/>
      <c r="F271" s="47"/>
      <c r="G271" s="47"/>
      <c r="H271" s="47"/>
      <c r="I271" s="47"/>
      <c r="J271" s="47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</row>
    <row r="272" spans="2:24" x14ac:dyDescent="0.25">
      <c r="B272" s="46"/>
      <c r="C272" s="47"/>
      <c r="D272" s="47"/>
      <c r="E272" s="47"/>
      <c r="F272" s="47"/>
      <c r="G272" s="47"/>
      <c r="H272" s="47"/>
      <c r="I272" s="47"/>
      <c r="J272" s="47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</row>
    <row r="273" spans="2:24" x14ac:dyDescent="0.25">
      <c r="B273" s="46"/>
      <c r="C273" s="47"/>
      <c r="D273" s="47"/>
      <c r="E273" s="47"/>
      <c r="F273" s="47"/>
      <c r="G273" s="47"/>
      <c r="H273" s="47"/>
      <c r="I273" s="47"/>
      <c r="J273" s="47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</row>
  </sheetData>
  <mergeCells count="18">
    <mergeCell ref="I16:I17"/>
    <mergeCell ref="J16:J17"/>
    <mergeCell ref="G2:G3"/>
    <mergeCell ref="H2:H3"/>
    <mergeCell ref="I2:I3"/>
    <mergeCell ref="J2:J3"/>
    <mergeCell ref="G16:G17"/>
    <mergeCell ref="H16:H17"/>
    <mergeCell ref="B16:B17"/>
    <mergeCell ref="C16:C17"/>
    <mergeCell ref="D16:D17"/>
    <mergeCell ref="E16:E17"/>
    <mergeCell ref="F16:F17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Product Margin Analysis</vt:lpstr>
      <vt:lpstr>Product Revenue Analysis</vt:lpstr>
      <vt:lpstr>Installer Analysis</vt:lpstr>
      <vt:lpstr>Designer Analysis</vt:lpstr>
      <vt:lpstr>Sales Location Analysis</vt:lpstr>
      <vt:lpstr>Sales by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user</cp:lastModifiedBy>
  <cp:lastPrinted>2019-09-13T20:32:08Z</cp:lastPrinted>
  <dcterms:created xsi:type="dcterms:W3CDTF">2015-06-16T16:58:48Z</dcterms:created>
  <dcterms:modified xsi:type="dcterms:W3CDTF">2024-02-19T17:25:39Z</dcterms:modified>
</cp:coreProperties>
</file>