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0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1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2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3.xml" ContentType="application/vnd.openxmlformats-officedocument.themeOverrid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Z:\Commission - Job Cost\2020\"/>
    </mc:Choice>
  </mc:AlternateContent>
  <bookViews>
    <workbookView xWindow="-120" yWindow="-120" windowWidth="16320" windowHeight="12705" tabRatio="488"/>
  </bookViews>
  <sheets>
    <sheet name="Raw Data" sheetId="1" r:id="rId1"/>
    <sheet name="Product Margin Analysis" sheetId="7" r:id="rId2"/>
    <sheet name="Product Revenue Analysis" sheetId="8" r:id="rId3"/>
    <sheet name="Installer Analysis" sheetId="9" r:id="rId4"/>
    <sheet name="Designer Analysis" sheetId="10" r:id="rId5"/>
    <sheet name="Sales Location Analysis" sheetId="11" r:id="rId6"/>
    <sheet name="Sales by month" sheetId="13" r:id="rId7"/>
  </sheets>
  <definedNames>
    <definedName name="_xlnm._FilterDatabase" localSheetId="4" hidden="1">'Designer Analysis'!#REF!</definedName>
    <definedName name="_xlnm._FilterDatabase" localSheetId="3" hidden="1">'Installer Analysis'!#REF!</definedName>
    <definedName name="_xlnm._FilterDatabase" localSheetId="1" hidden="1">'Product Margin Analysis'!#REF!</definedName>
    <definedName name="_xlnm._FilterDatabase" localSheetId="2" hidden="1">'Product Revenue Analysis'!#REF!</definedName>
    <definedName name="_xlnm._FilterDatabase" localSheetId="0" hidden="1">'Raw Data'!$B$4:$Q$277</definedName>
    <definedName name="_xlnm._FilterDatabase" localSheetId="6" hidden="1">'Sales by month'!#REF!</definedName>
    <definedName name="_xlnm._FilterDatabase" localSheetId="5" hidden="1">'Sales Location Analysis'!#REF!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5" i="1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E23" i="9" l="1"/>
  <c r="E15" i="8"/>
  <c r="E16" i="8"/>
  <c r="D16" i="8"/>
  <c r="E5" i="13"/>
  <c r="E6" i="13"/>
  <c r="E7" i="13"/>
  <c r="E8" i="13"/>
  <c r="E9" i="13"/>
  <c r="E10" i="13"/>
  <c r="E11" i="13"/>
  <c r="E12" i="13"/>
  <c r="E13" i="13"/>
  <c r="E14" i="13"/>
  <c r="E15" i="13"/>
  <c r="E4" i="13"/>
  <c r="D5" i="13"/>
  <c r="D6" i="13"/>
  <c r="D7" i="13"/>
  <c r="D8" i="13"/>
  <c r="D9" i="13"/>
  <c r="D10" i="13"/>
  <c r="D11" i="13"/>
  <c r="D12" i="13"/>
  <c r="D13" i="13"/>
  <c r="D14" i="13"/>
  <c r="D15" i="13"/>
  <c r="D4" i="13"/>
  <c r="J12" i="10"/>
  <c r="I12" i="10"/>
  <c r="H12" i="10"/>
  <c r="E12" i="10"/>
  <c r="D12" i="10"/>
  <c r="C12" i="10"/>
  <c r="J9" i="10"/>
  <c r="I9" i="10"/>
  <c r="H9" i="10"/>
  <c r="E9" i="10"/>
  <c r="D9" i="10"/>
  <c r="C9" i="10"/>
  <c r="J8" i="10"/>
  <c r="I8" i="10"/>
  <c r="H8" i="10"/>
  <c r="E8" i="10"/>
  <c r="D8" i="10"/>
  <c r="C8" i="10"/>
  <c r="M277" i="1" l="1"/>
  <c r="K277" i="1"/>
  <c r="M276" i="1"/>
  <c r="L276" i="1"/>
  <c r="K276" i="1"/>
  <c r="M275" i="1"/>
  <c r="K275" i="1"/>
  <c r="M274" i="1"/>
  <c r="K274" i="1"/>
  <c r="D15" i="7" s="1"/>
  <c r="M273" i="1"/>
  <c r="K273" i="1"/>
  <c r="M272" i="1"/>
  <c r="G12" i="10" s="1"/>
  <c r="K272" i="1"/>
  <c r="F12" i="10" s="1"/>
  <c r="M271" i="1"/>
  <c r="K271" i="1"/>
  <c r="M270" i="1"/>
  <c r="K270" i="1"/>
  <c r="M269" i="1"/>
  <c r="K269" i="1"/>
  <c r="M268" i="1"/>
  <c r="K268" i="1"/>
  <c r="M267" i="1"/>
  <c r="K267" i="1"/>
  <c r="M265" i="1"/>
  <c r="K265" i="1"/>
  <c r="M264" i="1"/>
  <c r="K264" i="1"/>
  <c r="M263" i="1"/>
  <c r="K263" i="1"/>
  <c r="M262" i="1"/>
  <c r="K262" i="1"/>
  <c r="M261" i="1"/>
  <c r="K261" i="1"/>
  <c r="M260" i="1"/>
  <c r="K260" i="1"/>
  <c r="M259" i="1"/>
  <c r="K259" i="1"/>
  <c r="M258" i="1"/>
  <c r="K258" i="1"/>
  <c r="M257" i="1"/>
  <c r="K257" i="1"/>
  <c r="M256" i="1"/>
  <c r="K256" i="1"/>
  <c r="L255" i="1"/>
  <c r="M255" i="1" s="1"/>
  <c r="K255" i="1"/>
  <c r="L254" i="1"/>
  <c r="M254" i="1" s="1"/>
  <c r="K254" i="1"/>
  <c r="M253" i="1"/>
  <c r="K253" i="1"/>
  <c r="M252" i="1"/>
  <c r="K252" i="1"/>
  <c r="M251" i="1"/>
  <c r="K251" i="1"/>
  <c r="M250" i="1"/>
  <c r="K250" i="1"/>
  <c r="M249" i="1"/>
  <c r="K249" i="1"/>
  <c r="M248" i="1"/>
  <c r="K248" i="1"/>
  <c r="M247" i="1"/>
  <c r="K247" i="1"/>
  <c r="L246" i="1"/>
  <c r="M246" i="1" s="1"/>
  <c r="K246" i="1"/>
  <c r="L245" i="1"/>
  <c r="M245" i="1" s="1"/>
  <c r="K245" i="1"/>
  <c r="L244" i="1"/>
  <c r="M244" i="1" s="1"/>
  <c r="K244" i="1"/>
  <c r="L243" i="1"/>
  <c r="M243" i="1" s="1"/>
  <c r="K243" i="1"/>
  <c r="M242" i="1"/>
  <c r="K242" i="1"/>
  <c r="M241" i="1"/>
  <c r="K241" i="1"/>
  <c r="M240" i="1"/>
  <c r="K240" i="1"/>
  <c r="M239" i="1"/>
  <c r="K239" i="1"/>
  <c r="M238" i="1"/>
  <c r="K238" i="1"/>
  <c r="M237" i="1"/>
  <c r="K237" i="1"/>
  <c r="D10" i="9" s="1"/>
  <c r="L236" i="1"/>
  <c r="M236" i="1" s="1"/>
  <c r="K236" i="1"/>
  <c r="M235" i="1"/>
  <c r="K235" i="1"/>
  <c r="M234" i="1"/>
  <c r="K234" i="1"/>
  <c r="M233" i="1"/>
  <c r="K233" i="1"/>
  <c r="M232" i="1"/>
  <c r="K232" i="1"/>
  <c r="L231" i="1"/>
  <c r="M231" i="1" s="1"/>
  <c r="K231" i="1"/>
  <c r="M230" i="1"/>
  <c r="K230" i="1"/>
  <c r="M229" i="1"/>
  <c r="K229" i="1"/>
  <c r="M228" i="1"/>
  <c r="K228" i="1"/>
  <c r="D20" i="9" s="1"/>
  <c r="L227" i="1"/>
  <c r="M227" i="1" s="1"/>
  <c r="K227" i="1"/>
  <c r="M226" i="1"/>
  <c r="K226" i="1"/>
  <c r="M225" i="1"/>
  <c r="K225" i="1"/>
  <c r="L224" i="1"/>
  <c r="M224" i="1" s="1"/>
  <c r="K224" i="1"/>
  <c r="M223" i="1"/>
  <c r="K223" i="1"/>
  <c r="M222" i="1"/>
  <c r="K222" i="1"/>
  <c r="M221" i="1"/>
  <c r="K221" i="1"/>
  <c r="M220" i="1"/>
  <c r="K220" i="1"/>
  <c r="L219" i="1"/>
  <c r="M219" i="1" s="1"/>
  <c r="K219" i="1"/>
  <c r="L218" i="1"/>
  <c r="M218" i="1" s="1"/>
  <c r="K218" i="1"/>
  <c r="M217" i="1"/>
  <c r="K217" i="1"/>
  <c r="M216" i="1"/>
  <c r="K216" i="1"/>
  <c r="L215" i="1"/>
  <c r="M215" i="1" s="1"/>
  <c r="K215" i="1"/>
  <c r="M214" i="1"/>
  <c r="K214" i="1"/>
  <c r="M213" i="1"/>
  <c r="K213" i="1"/>
  <c r="L212" i="1"/>
  <c r="M212" i="1" s="1"/>
  <c r="K212" i="1"/>
  <c r="L211" i="1"/>
  <c r="M211" i="1" s="1"/>
  <c r="K211" i="1"/>
  <c r="M210" i="1"/>
  <c r="K210" i="1"/>
  <c r="M209" i="1"/>
  <c r="K209" i="1"/>
  <c r="M208" i="1"/>
  <c r="K208" i="1"/>
  <c r="L207" i="1"/>
  <c r="M207" i="1" s="1"/>
  <c r="K207" i="1"/>
  <c r="M206" i="1"/>
  <c r="K206" i="1"/>
  <c r="L205" i="1"/>
  <c r="M205" i="1" s="1"/>
  <c r="K205" i="1"/>
  <c r="J205" i="1"/>
  <c r="M204" i="1"/>
  <c r="K204" i="1"/>
  <c r="M203" i="1"/>
  <c r="K203" i="1"/>
  <c r="L202" i="1"/>
  <c r="M202" i="1" s="1"/>
  <c r="K202" i="1"/>
  <c r="M201" i="1"/>
  <c r="K201" i="1"/>
  <c r="L200" i="1"/>
  <c r="M200" i="1" s="1"/>
  <c r="K200" i="1"/>
  <c r="M199" i="1"/>
  <c r="K199" i="1"/>
  <c r="M198" i="1"/>
  <c r="K198" i="1"/>
  <c r="M197" i="1"/>
  <c r="K197" i="1"/>
  <c r="M196" i="1"/>
  <c r="K196" i="1"/>
  <c r="M195" i="1"/>
  <c r="K195" i="1"/>
  <c r="M194" i="1"/>
  <c r="K194" i="1"/>
  <c r="D19" i="9" s="1"/>
  <c r="M193" i="1"/>
  <c r="K193" i="1"/>
  <c r="M192" i="1"/>
  <c r="K192" i="1"/>
  <c r="M191" i="1"/>
  <c r="J191" i="1"/>
  <c r="K191" i="1" s="1"/>
  <c r="D9" i="9" s="1"/>
  <c r="L190" i="1"/>
  <c r="M190" i="1" s="1"/>
  <c r="K190" i="1"/>
  <c r="M189" i="1"/>
  <c r="K189" i="1"/>
  <c r="M188" i="1"/>
  <c r="K188" i="1"/>
  <c r="M187" i="1"/>
  <c r="K187" i="1"/>
  <c r="M186" i="1"/>
  <c r="K186" i="1"/>
  <c r="L185" i="1"/>
  <c r="M185" i="1" s="1"/>
  <c r="K185" i="1"/>
  <c r="J185" i="1"/>
  <c r="M184" i="1"/>
  <c r="K184" i="1"/>
  <c r="M183" i="1"/>
  <c r="K183" i="1"/>
  <c r="M182" i="1"/>
  <c r="K182" i="1"/>
  <c r="L181" i="1"/>
  <c r="M181" i="1" s="1"/>
  <c r="K181" i="1"/>
  <c r="M180" i="1"/>
  <c r="K180" i="1"/>
  <c r="M179" i="1"/>
  <c r="K179" i="1"/>
  <c r="M178" i="1"/>
  <c r="K178" i="1"/>
  <c r="L177" i="1"/>
  <c r="M177" i="1" s="1"/>
  <c r="K177" i="1"/>
  <c r="M176" i="1"/>
  <c r="K176" i="1"/>
  <c r="M175" i="1"/>
  <c r="L175" i="1"/>
  <c r="K175" i="1"/>
  <c r="L174" i="1"/>
  <c r="M174" i="1" s="1"/>
  <c r="K174" i="1"/>
  <c r="M173" i="1"/>
  <c r="J173" i="1"/>
  <c r="K173" i="1" s="1"/>
  <c r="M172" i="1"/>
  <c r="K172" i="1"/>
  <c r="M171" i="1"/>
  <c r="K171" i="1"/>
  <c r="M170" i="1"/>
  <c r="K170" i="1"/>
  <c r="M169" i="1"/>
  <c r="K169" i="1"/>
  <c r="M168" i="1"/>
  <c r="K168" i="1"/>
  <c r="M167" i="1"/>
  <c r="K167" i="1"/>
  <c r="M166" i="1"/>
  <c r="K166" i="1"/>
  <c r="M165" i="1"/>
  <c r="K165" i="1"/>
  <c r="L164" i="1"/>
  <c r="M164" i="1" s="1"/>
  <c r="K164" i="1"/>
  <c r="M163" i="1"/>
  <c r="K163" i="1"/>
  <c r="L162" i="1"/>
  <c r="M162" i="1" s="1"/>
  <c r="K162" i="1"/>
  <c r="M161" i="1"/>
  <c r="K161" i="1"/>
  <c r="M160" i="1"/>
  <c r="K160" i="1"/>
  <c r="L159" i="1"/>
  <c r="M159" i="1" s="1"/>
  <c r="K159" i="1"/>
  <c r="M158" i="1"/>
  <c r="K158" i="1"/>
  <c r="M157" i="1"/>
  <c r="K157" i="1"/>
  <c r="M156" i="1"/>
  <c r="K156" i="1"/>
  <c r="M155" i="1"/>
  <c r="K155" i="1"/>
  <c r="M154" i="1"/>
  <c r="K154" i="1"/>
  <c r="L153" i="1"/>
  <c r="M153" i="1" s="1"/>
  <c r="K153" i="1"/>
  <c r="M152" i="1"/>
  <c r="K152" i="1"/>
  <c r="M151" i="1"/>
  <c r="K151" i="1"/>
  <c r="J151" i="1"/>
  <c r="M150" i="1"/>
  <c r="K150" i="1"/>
  <c r="L149" i="1"/>
  <c r="M149" i="1" s="1"/>
  <c r="K149" i="1"/>
  <c r="L148" i="1"/>
  <c r="M148" i="1" s="1"/>
  <c r="K148" i="1"/>
  <c r="M147" i="1"/>
  <c r="K147" i="1"/>
  <c r="M146" i="1"/>
  <c r="K146" i="1"/>
  <c r="L145" i="1"/>
  <c r="M145" i="1" s="1"/>
  <c r="K145" i="1"/>
  <c r="M144" i="1"/>
  <c r="K144" i="1"/>
  <c r="L143" i="1"/>
  <c r="M143" i="1" s="1"/>
  <c r="K143" i="1"/>
  <c r="M142" i="1"/>
  <c r="K142" i="1"/>
  <c r="M141" i="1"/>
  <c r="K141" i="1"/>
  <c r="M140" i="1"/>
  <c r="K140" i="1"/>
  <c r="L139" i="1"/>
  <c r="M139" i="1" s="1"/>
  <c r="K139" i="1"/>
  <c r="L138" i="1"/>
  <c r="M138" i="1" s="1"/>
  <c r="K138" i="1"/>
  <c r="M137" i="1"/>
  <c r="K137" i="1"/>
  <c r="L136" i="1"/>
  <c r="M136" i="1" s="1"/>
  <c r="K136" i="1"/>
  <c r="K135" i="1"/>
  <c r="L134" i="1"/>
  <c r="M134" i="1" s="1"/>
  <c r="K134" i="1"/>
  <c r="L133" i="1"/>
  <c r="M133" i="1" s="1"/>
  <c r="K133" i="1"/>
  <c r="M132" i="1"/>
  <c r="K132" i="1"/>
  <c r="M131" i="1"/>
  <c r="K131" i="1"/>
  <c r="J131" i="1"/>
  <c r="L130" i="1"/>
  <c r="M130" i="1" s="1"/>
  <c r="K130" i="1"/>
  <c r="L129" i="1"/>
  <c r="M129" i="1" s="1"/>
  <c r="K129" i="1"/>
  <c r="M128" i="1"/>
  <c r="K128" i="1"/>
  <c r="M127" i="1"/>
  <c r="K127" i="1"/>
  <c r="M126" i="1"/>
  <c r="K126" i="1"/>
  <c r="L125" i="1"/>
  <c r="M125" i="1" s="1"/>
  <c r="K125" i="1"/>
  <c r="M124" i="1"/>
  <c r="K124" i="1"/>
  <c r="D16" i="7" s="1"/>
  <c r="L123" i="1"/>
  <c r="M123" i="1" s="1"/>
  <c r="J123" i="1"/>
  <c r="K123" i="1" s="1"/>
  <c r="L122" i="1"/>
  <c r="M122" i="1" s="1"/>
  <c r="K122" i="1"/>
  <c r="L121" i="1"/>
  <c r="M121" i="1" s="1"/>
  <c r="K121" i="1"/>
  <c r="L120" i="1"/>
  <c r="M120" i="1" s="1"/>
  <c r="K120" i="1"/>
  <c r="M119" i="1"/>
  <c r="K119" i="1"/>
  <c r="M118" i="1"/>
  <c r="K118" i="1"/>
  <c r="J118" i="1"/>
  <c r="L117" i="1"/>
  <c r="M117" i="1" s="1"/>
  <c r="K117" i="1"/>
  <c r="L116" i="1"/>
  <c r="M116" i="1" s="1"/>
  <c r="K116" i="1"/>
  <c r="L115" i="1"/>
  <c r="M115" i="1" s="1"/>
  <c r="K115" i="1"/>
  <c r="L114" i="1"/>
  <c r="M114" i="1" s="1"/>
  <c r="K114" i="1"/>
  <c r="M113" i="1"/>
  <c r="K113" i="1"/>
  <c r="J113" i="1"/>
  <c r="L112" i="1"/>
  <c r="M112" i="1" s="1"/>
  <c r="K112" i="1"/>
  <c r="L111" i="1"/>
  <c r="M111" i="1" s="1"/>
  <c r="K111" i="1"/>
  <c r="M110" i="1"/>
  <c r="K110" i="1"/>
  <c r="L109" i="1"/>
  <c r="M109" i="1" s="1"/>
  <c r="K109" i="1"/>
  <c r="M108" i="1"/>
  <c r="K108" i="1"/>
  <c r="L107" i="1"/>
  <c r="M107" i="1" s="1"/>
  <c r="K107" i="1"/>
  <c r="L106" i="1"/>
  <c r="M106" i="1" s="1"/>
  <c r="K106" i="1"/>
  <c r="L105" i="1"/>
  <c r="M105" i="1" s="1"/>
  <c r="J105" i="1"/>
  <c r="K105" i="1" s="1"/>
  <c r="D16" i="9" s="1"/>
  <c r="M104" i="1"/>
  <c r="L104" i="1"/>
  <c r="K104" i="1"/>
  <c r="M103" i="1"/>
  <c r="K103" i="1"/>
  <c r="L102" i="1"/>
  <c r="M102" i="1" s="1"/>
  <c r="K102" i="1"/>
  <c r="M101" i="1"/>
  <c r="K101" i="1"/>
  <c r="M100" i="1"/>
  <c r="L100" i="1"/>
  <c r="K100" i="1"/>
  <c r="L99" i="1"/>
  <c r="M99" i="1" s="1"/>
  <c r="K99" i="1"/>
  <c r="M98" i="1"/>
  <c r="L98" i="1"/>
  <c r="K98" i="1"/>
  <c r="M97" i="1"/>
  <c r="K97" i="1"/>
  <c r="L96" i="1"/>
  <c r="M96" i="1" s="1"/>
  <c r="K96" i="1"/>
  <c r="M95" i="1"/>
  <c r="K95" i="1"/>
  <c r="J95" i="1"/>
  <c r="L94" i="1"/>
  <c r="M94" i="1" s="1"/>
  <c r="K94" i="1"/>
  <c r="M93" i="1"/>
  <c r="K93" i="1"/>
  <c r="M92" i="1"/>
  <c r="K92" i="1"/>
  <c r="M91" i="1"/>
  <c r="K91" i="1"/>
  <c r="M90" i="1"/>
  <c r="K90" i="1"/>
  <c r="L89" i="1"/>
  <c r="M89" i="1" s="1"/>
  <c r="K89" i="1"/>
  <c r="L88" i="1"/>
  <c r="M88" i="1" s="1"/>
  <c r="K88" i="1"/>
  <c r="M87" i="1"/>
  <c r="K87" i="1"/>
  <c r="M86" i="1"/>
  <c r="K86" i="1"/>
  <c r="M85" i="1"/>
  <c r="K85" i="1"/>
  <c r="L84" i="1"/>
  <c r="M84" i="1" s="1"/>
  <c r="K84" i="1"/>
  <c r="M83" i="1"/>
  <c r="K83" i="1"/>
  <c r="M82" i="1"/>
  <c r="K82" i="1"/>
  <c r="M81" i="1"/>
  <c r="K81" i="1"/>
  <c r="D21" i="9" s="1"/>
  <c r="M80" i="1"/>
  <c r="K80" i="1"/>
  <c r="L79" i="1"/>
  <c r="M79" i="1" s="1"/>
  <c r="K79" i="1"/>
  <c r="M78" i="1"/>
  <c r="K78" i="1"/>
  <c r="M77" i="1"/>
  <c r="K77" i="1"/>
  <c r="M76" i="1"/>
  <c r="K76" i="1"/>
  <c r="M75" i="1"/>
  <c r="K75" i="1"/>
  <c r="M74" i="1"/>
  <c r="K74" i="1"/>
  <c r="M73" i="1"/>
  <c r="K73" i="1"/>
  <c r="M72" i="1"/>
  <c r="J72" i="1"/>
  <c r="K72" i="1" s="1"/>
  <c r="M71" i="1"/>
  <c r="K71" i="1"/>
  <c r="M70" i="1"/>
  <c r="K70" i="1"/>
  <c r="L69" i="1"/>
  <c r="M69" i="1" s="1"/>
  <c r="K69" i="1"/>
  <c r="M68" i="1"/>
  <c r="K68" i="1"/>
  <c r="M67" i="1"/>
  <c r="K67" i="1"/>
  <c r="L66" i="1"/>
  <c r="M66" i="1" s="1"/>
  <c r="K66" i="1"/>
  <c r="M65" i="1"/>
  <c r="K65" i="1"/>
  <c r="M64" i="1"/>
  <c r="K64" i="1"/>
  <c r="M63" i="1"/>
  <c r="K63" i="1"/>
  <c r="M62" i="1"/>
  <c r="K62" i="1"/>
  <c r="M61" i="1"/>
  <c r="K61" i="1"/>
  <c r="M60" i="1"/>
  <c r="K60" i="1"/>
  <c r="D7" i="9" s="1"/>
  <c r="M59" i="1"/>
  <c r="K59" i="1"/>
  <c r="M58" i="1"/>
  <c r="K58" i="1"/>
  <c r="M57" i="1"/>
  <c r="K57" i="1"/>
  <c r="L56" i="1"/>
  <c r="M56" i="1" s="1"/>
  <c r="K56" i="1"/>
  <c r="L55" i="1"/>
  <c r="M55" i="1" s="1"/>
  <c r="K55" i="1"/>
  <c r="M54" i="1"/>
  <c r="K54" i="1"/>
  <c r="M53" i="1"/>
  <c r="L53" i="1"/>
  <c r="K53" i="1"/>
  <c r="M52" i="1"/>
  <c r="K52" i="1"/>
  <c r="M51" i="1"/>
  <c r="K51" i="1"/>
  <c r="M50" i="1"/>
  <c r="K50" i="1"/>
  <c r="M49" i="1"/>
  <c r="K49" i="1"/>
  <c r="M48" i="1"/>
  <c r="K48" i="1"/>
  <c r="L47" i="1"/>
  <c r="M47" i="1" s="1"/>
  <c r="K47" i="1"/>
  <c r="M46" i="1"/>
  <c r="K46" i="1"/>
  <c r="M45" i="1"/>
  <c r="K45" i="1"/>
  <c r="M44" i="1"/>
  <c r="K44" i="1"/>
  <c r="M43" i="1"/>
  <c r="K43" i="1"/>
  <c r="M42" i="1"/>
  <c r="K42" i="1"/>
  <c r="L41" i="1"/>
  <c r="M41" i="1" s="1"/>
  <c r="K41" i="1"/>
  <c r="J41" i="1"/>
  <c r="L40" i="1"/>
  <c r="M40" i="1" s="1"/>
  <c r="K40" i="1"/>
  <c r="M39" i="1"/>
  <c r="K39" i="1"/>
  <c r="M38" i="1"/>
  <c r="K38" i="1"/>
  <c r="M37" i="1"/>
  <c r="K37" i="1"/>
  <c r="D6" i="9" s="1"/>
  <c r="M36" i="1"/>
  <c r="K36" i="1"/>
  <c r="M35" i="1"/>
  <c r="K35" i="1"/>
  <c r="M34" i="1"/>
  <c r="K34" i="1"/>
  <c r="M33" i="1"/>
  <c r="K33" i="1"/>
  <c r="L32" i="1"/>
  <c r="M32" i="1" s="1"/>
  <c r="K32" i="1"/>
  <c r="M31" i="1"/>
  <c r="K31" i="1"/>
  <c r="M30" i="1"/>
  <c r="K30" i="1"/>
  <c r="M29" i="1"/>
  <c r="K29" i="1"/>
  <c r="L28" i="1"/>
  <c r="M28" i="1" s="1"/>
  <c r="K28" i="1"/>
  <c r="M27" i="1"/>
  <c r="K27" i="1"/>
  <c r="M26" i="1"/>
  <c r="K26" i="1"/>
  <c r="M25" i="1"/>
  <c r="K25" i="1"/>
  <c r="M24" i="1"/>
  <c r="K24" i="1"/>
  <c r="M23" i="1"/>
  <c r="K23" i="1"/>
  <c r="M22" i="1"/>
  <c r="K22" i="1"/>
  <c r="M21" i="1"/>
  <c r="K21" i="1"/>
  <c r="M20" i="1"/>
  <c r="K20" i="1"/>
  <c r="L19" i="1"/>
  <c r="M19" i="1" s="1"/>
  <c r="K19" i="1"/>
  <c r="M18" i="1"/>
  <c r="K18" i="1"/>
  <c r="M17" i="1"/>
  <c r="K17" i="1"/>
  <c r="L16" i="1"/>
  <c r="M16" i="1" s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L7" i="1"/>
  <c r="M7" i="1" s="1"/>
  <c r="K7" i="1"/>
  <c r="D11" i="9" s="1"/>
  <c r="M6" i="1"/>
  <c r="K6" i="1"/>
  <c r="M5" i="1"/>
  <c r="K5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D18" i="9" l="1"/>
  <c r="D5" i="9"/>
  <c r="D4" i="9"/>
  <c r="D22" i="9"/>
  <c r="D12" i="9"/>
  <c r="D8" i="9"/>
  <c r="D14" i="9"/>
  <c r="D13" i="9"/>
  <c r="D15" i="9"/>
  <c r="D17" i="9"/>
  <c r="F7" i="13"/>
  <c r="F10" i="13"/>
  <c r="F12" i="13"/>
  <c r="F13" i="13"/>
  <c r="F15" i="13"/>
  <c r="F4" i="13"/>
  <c r="F8" i="10"/>
  <c r="F5" i="13"/>
  <c r="F6" i="13"/>
  <c r="F8" i="13"/>
  <c r="F9" i="13"/>
  <c r="F9" i="10"/>
  <c r="F11" i="13"/>
  <c r="F14" i="13"/>
  <c r="G8" i="10"/>
  <c r="G9" i="10"/>
  <c r="C6" i="13" l="1"/>
  <c r="C7" i="13"/>
  <c r="C8" i="13"/>
  <c r="C9" i="13"/>
  <c r="C10" i="13"/>
  <c r="C11" i="13"/>
  <c r="C12" i="13"/>
  <c r="C13" i="13"/>
  <c r="C14" i="13"/>
  <c r="C15" i="13"/>
  <c r="C4" i="13"/>
  <c r="C5" i="13"/>
  <c r="C16" i="13" l="1"/>
  <c r="D16" i="13"/>
  <c r="E16" i="13" l="1"/>
  <c r="D13" i="11"/>
  <c r="G13" i="11"/>
  <c r="E13" i="11"/>
  <c r="C13" i="11"/>
  <c r="C10" i="11"/>
  <c r="C9" i="11"/>
  <c r="G12" i="11"/>
  <c r="E12" i="11"/>
  <c r="D12" i="11"/>
  <c r="C12" i="11"/>
  <c r="G11" i="11"/>
  <c r="E11" i="11"/>
  <c r="D11" i="11"/>
  <c r="C11" i="11"/>
  <c r="G10" i="11"/>
  <c r="E10" i="11"/>
  <c r="D10" i="11"/>
  <c r="G9" i="11"/>
  <c r="E9" i="11"/>
  <c r="D9" i="11"/>
  <c r="G8" i="11"/>
  <c r="E8" i="11"/>
  <c r="D8" i="11"/>
  <c r="C8" i="11"/>
  <c r="G7" i="11"/>
  <c r="E7" i="11"/>
  <c r="D7" i="11"/>
  <c r="C7" i="11"/>
  <c r="G6" i="11"/>
  <c r="E6" i="11"/>
  <c r="D6" i="11"/>
  <c r="C6" i="11"/>
  <c r="G5" i="11"/>
  <c r="E5" i="11"/>
  <c r="D5" i="11"/>
  <c r="C5" i="11"/>
  <c r="G4" i="11"/>
  <c r="E4" i="11"/>
  <c r="D4" i="11"/>
  <c r="C4" i="11"/>
  <c r="D14" i="11" l="1"/>
  <c r="G14" i="11"/>
  <c r="E14" i="11"/>
  <c r="C14" i="11"/>
  <c r="J11" i="10"/>
  <c r="I11" i="10"/>
  <c r="H11" i="10"/>
  <c r="E11" i="10"/>
  <c r="D11" i="10"/>
  <c r="C11" i="10"/>
  <c r="J10" i="10"/>
  <c r="I10" i="10"/>
  <c r="H10" i="10"/>
  <c r="E10" i="10"/>
  <c r="D10" i="10"/>
  <c r="C10" i="10"/>
  <c r="J7" i="10"/>
  <c r="I7" i="10"/>
  <c r="H7" i="10"/>
  <c r="E7" i="10"/>
  <c r="D7" i="10"/>
  <c r="C7" i="10"/>
  <c r="J6" i="10"/>
  <c r="I6" i="10"/>
  <c r="H6" i="10"/>
  <c r="E6" i="10"/>
  <c r="D6" i="10"/>
  <c r="C6" i="10"/>
  <c r="J5" i="10"/>
  <c r="I5" i="10"/>
  <c r="H5" i="10"/>
  <c r="E5" i="10"/>
  <c r="D5" i="10"/>
  <c r="C5" i="10"/>
  <c r="J4" i="10"/>
  <c r="I4" i="10"/>
  <c r="H4" i="10"/>
  <c r="E4" i="10"/>
  <c r="D4" i="10"/>
  <c r="C4" i="10"/>
  <c r="E18" i="8"/>
  <c r="D18" i="8"/>
  <c r="E17" i="8"/>
  <c r="D17" i="8"/>
  <c r="E27" i="8"/>
  <c r="D27" i="8"/>
  <c r="D15" i="8"/>
  <c r="E14" i="8"/>
  <c r="D14" i="8"/>
  <c r="E13" i="8"/>
  <c r="D13" i="8"/>
  <c r="E12" i="8"/>
  <c r="D12" i="8"/>
  <c r="E11" i="8"/>
  <c r="D11" i="8"/>
  <c r="D26" i="8" s="1"/>
  <c r="E10" i="8"/>
  <c r="D10" i="8"/>
  <c r="E9" i="8"/>
  <c r="D9" i="8"/>
  <c r="E8" i="8"/>
  <c r="D8" i="8"/>
  <c r="E7" i="8"/>
  <c r="D7" i="8"/>
  <c r="E6" i="8"/>
  <c r="D6" i="8"/>
  <c r="E5" i="8"/>
  <c r="E24" i="8" s="1"/>
  <c r="D5" i="8"/>
  <c r="D24" i="8" s="1"/>
  <c r="E4" i="8"/>
  <c r="E23" i="8" s="1"/>
  <c r="D4" i="8"/>
  <c r="D23" i="8" s="1"/>
  <c r="S325" i="1"/>
  <c r="F12" i="11"/>
  <c r="F13" i="11"/>
  <c r="D9" i="7"/>
  <c r="F11" i="11"/>
  <c r="D13" i="7"/>
  <c r="D11" i="7"/>
  <c r="F5" i="11"/>
  <c r="F6" i="11"/>
  <c r="F10" i="11"/>
  <c r="D5" i="7"/>
  <c r="D24" i="7" s="1"/>
  <c r="D18" i="7"/>
  <c r="F7" i="11"/>
  <c r="D17" i="7"/>
  <c r="P3" i="1"/>
  <c r="O3" i="1"/>
  <c r="N3" i="1"/>
  <c r="L3" i="1"/>
  <c r="J3" i="1"/>
  <c r="I3" i="1"/>
  <c r="E26" i="8" l="1"/>
  <c r="D25" i="8"/>
  <c r="I13" i="10"/>
  <c r="E25" i="8"/>
  <c r="L4" i="8"/>
  <c r="E19" i="8"/>
  <c r="D27" i="7"/>
  <c r="D12" i="7"/>
  <c r="F9" i="11"/>
  <c r="F8" i="11"/>
  <c r="F4" i="11"/>
  <c r="D13" i="10"/>
  <c r="C13" i="10"/>
  <c r="K3" i="1"/>
  <c r="D4" i="7"/>
  <c r="D23" i="7" s="1"/>
  <c r="G11" i="10"/>
  <c r="D6" i="7"/>
  <c r="D7" i="7"/>
  <c r="D19" i="8"/>
  <c r="E13" i="10"/>
  <c r="H13" i="10"/>
  <c r="J13" i="10"/>
  <c r="G7" i="10"/>
  <c r="L20" i="9"/>
  <c r="G5" i="10"/>
  <c r="M3" i="1"/>
  <c r="F11" i="10"/>
  <c r="D8" i="7"/>
  <c r="F10" i="10"/>
  <c r="F4" i="10"/>
  <c r="F5" i="10"/>
  <c r="D14" i="7"/>
  <c r="D10" i="7"/>
  <c r="F7" i="10"/>
  <c r="G4" i="10"/>
  <c r="G6" i="10"/>
  <c r="G10" i="10"/>
  <c r="F6" i="10"/>
  <c r="D23" i="9" l="1"/>
  <c r="F16" i="13"/>
  <c r="D26" i="7"/>
  <c r="D25" i="7"/>
  <c r="D28" i="7"/>
  <c r="D19" i="7"/>
  <c r="K4" i="7"/>
  <c r="F14" i="11"/>
  <c r="G13" i="10"/>
  <c r="F13" i="10"/>
</calcChain>
</file>

<file path=xl/sharedStrings.xml><?xml version="1.0" encoding="utf-8"?>
<sst xmlns="http://schemas.openxmlformats.org/spreadsheetml/2006/main" count="1538" uniqueCount="398">
  <si>
    <t>Contract Date</t>
  </si>
  <si>
    <t>Direct Costs</t>
  </si>
  <si>
    <t>Product</t>
  </si>
  <si>
    <t>Net Sale</t>
  </si>
  <si>
    <t>Margin</t>
  </si>
  <si>
    <t>Comm $</t>
  </si>
  <si>
    <t>Comm %</t>
  </si>
  <si>
    <t>Customer</t>
  </si>
  <si>
    <t>Installer</t>
  </si>
  <si>
    <t>City</t>
  </si>
  <si>
    <t>Over (Under) Par</t>
  </si>
  <si>
    <t>Addtl Incent</t>
  </si>
  <si>
    <t xml:space="preserve">  </t>
  </si>
  <si>
    <t>W (A)</t>
  </si>
  <si>
    <t>IR</t>
  </si>
  <si>
    <t>Don</t>
  </si>
  <si>
    <t>B</t>
  </si>
  <si>
    <t>Chris M.</t>
  </si>
  <si>
    <t>K</t>
  </si>
  <si>
    <t>LC</t>
  </si>
  <si>
    <t>W</t>
  </si>
  <si>
    <t>OP</t>
  </si>
  <si>
    <t>Designer</t>
  </si>
  <si>
    <t>Average Margin</t>
  </si>
  <si>
    <t>VP</t>
  </si>
  <si>
    <t>#</t>
  </si>
  <si>
    <t>MW</t>
  </si>
  <si>
    <t>Romo</t>
  </si>
  <si>
    <t>Nolan</t>
  </si>
  <si>
    <t>ABQ</t>
  </si>
  <si>
    <t>FP</t>
  </si>
  <si>
    <t>BS</t>
  </si>
  <si>
    <t>Nic R.</t>
  </si>
  <si>
    <t>CD</t>
  </si>
  <si>
    <t>Manuel</t>
  </si>
  <si>
    <t>Sandia Park</t>
  </si>
  <si>
    <t>Credit Card Fees</t>
  </si>
  <si>
    <t>Sellers</t>
  </si>
  <si>
    <t>Santa Fe</t>
  </si>
  <si>
    <t>LJ</t>
  </si>
  <si>
    <t>Taos</t>
  </si>
  <si>
    <t>Rio Rancho</t>
  </si>
  <si>
    <t>Bailey</t>
  </si>
  <si>
    <t>Moore</t>
  </si>
  <si>
    <t>Valencia</t>
  </si>
  <si>
    <t>Los Lunas</t>
  </si>
  <si>
    <t>Stroud</t>
  </si>
  <si>
    <t>Los Alamos</t>
  </si>
  <si>
    <t>Williams</t>
  </si>
  <si>
    <t>Anderson</t>
  </si>
  <si>
    <t>Jones</t>
  </si>
  <si>
    <t>Sanchez</t>
  </si>
  <si>
    <t>EN</t>
  </si>
  <si>
    <t>EK</t>
  </si>
  <si>
    <t>Tijeras</t>
  </si>
  <si>
    <t>Notes</t>
  </si>
  <si>
    <t>IR-Sky</t>
  </si>
  <si>
    <t>SR-VV</t>
  </si>
  <si>
    <t>SR-306</t>
  </si>
  <si>
    <t>SR-206</t>
  </si>
  <si>
    <t>SR-406</t>
  </si>
  <si>
    <t>SCR-WO</t>
  </si>
  <si>
    <t>Overall average</t>
  </si>
  <si>
    <t>Sunroom</t>
  </si>
  <si>
    <t>Windows</t>
  </si>
  <si>
    <t>Patio Covers</t>
  </si>
  <si>
    <t>Kitchen &amp; Bath</t>
  </si>
  <si>
    <t>Category</t>
  </si>
  <si>
    <t>Average margin by product</t>
  </si>
  <si>
    <t>Average Sale</t>
  </si>
  <si>
    <t>Brad H.</t>
  </si>
  <si>
    <t>PC &amp; SR</t>
  </si>
  <si>
    <t>Total sales</t>
  </si>
  <si>
    <t>x̅ Sale</t>
  </si>
  <si>
    <t>x̅ Margin</t>
  </si>
  <si>
    <t>x̅ Comm %</t>
  </si>
  <si>
    <t>x̅ Over/Under</t>
  </si>
  <si>
    <t>x̅ Additional incentive</t>
  </si>
  <si>
    <t>En</t>
  </si>
  <si>
    <t>Total additional incentive</t>
  </si>
  <si>
    <t>Total # of sales</t>
  </si>
  <si>
    <t>Bernalillo</t>
  </si>
  <si>
    <t>Totals to date</t>
  </si>
  <si>
    <t>Product by classification</t>
  </si>
  <si>
    <t>Average margin</t>
  </si>
  <si>
    <t>Location</t>
  </si>
  <si>
    <t>Total # of sales closed</t>
  </si>
  <si>
    <t>2021 Job Cost, Margin and Commission Summary</t>
  </si>
  <si>
    <t>DIY</t>
  </si>
  <si>
    <t>Barnish</t>
  </si>
  <si>
    <t>Maes</t>
  </si>
  <si>
    <t>Inn. Design</t>
  </si>
  <si>
    <t>Bigelow</t>
  </si>
  <si>
    <t>Meyerer</t>
  </si>
  <si>
    <t>Wyndorf</t>
  </si>
  <si>
    <t>Thomas</t>
  </si>
  <si>
    <t>Greving</t>
  </si>
  <si>
    <t>King</t>
  </si>
  <si>
    <t>JG</t>
  </si>
  <si>
    <t>Burkert</t>
  </si>
  <si>
    <t>Ulrickson</t>
  </si>
  <si>
    <t>Hansen</t>
  </si>
  <si>
    <t>Eger</t>
  </si>
  <si>
    <t>Mook</t>
  </si>
  <si>
    <t>Ponderosa</t>
  </si>
  <si>
    <t>Sanchez, Jerry</t>
  </si>
  <si>
    <t>Datil</t>
  </si>
  <si>
    <t>Cosgrove</t>
  </si>
  <si>
    <t>Marco</t>
  </si>
  <si>
    <t>Deubel</t>
  </si>
  <si>
    <t>Alire</t>
  </si>
  <si>
    <t>Socorro</t>
  </si>
  <si>
    <t>Spitz</t>
  </si>
  <si>
    <t>Cummings</t>
  </si>
  <si>
    <t>LaFluer</t>
  </si>
  <si>
    <t>Raskob</t>
  </si>
  <si>
    <t>Burke, James</t>
  </si>
  <si>
    <t>Alred</t>
  </si>
  <si>
    <t>Satches/Lopez</t>
  </si>
  <si>
    <t>Mass</t>
  </si>
  <si>
    <t>Meyer</t>
  </si>
  <si>
    <t>Soto</t>
  </si>
  <si>
    <t>Trujillo, Master</t>
  </si>
  <si>
    <t>Burke</t>
  </si>
  <si>
    <t>Lujan/Kudza</t>
  </si>
  <si>
    <t>Mike R.</t>
  </si>
  <si>
    <t>Salazar</t>
  </si>
  <si>
    <t>Santa Cruz</t>
  </si>
  <si>
    <t>Apodaca</t>
  </si>
  <si>
    <t>Hodges</t>
  </si>
  <si>
    <t>Darant</t>
  </si>
  <si>
    <t>Benn</t>
  </si>
  <si>
    <t>Mooney</t>
  </si>
  <si>
    <t>Vigil</t>
  </si>
  <si>
    <t>Benavidez</t>
  </si>
  <si>
    <t>Taylor</t>
  </si>
  <si>
    <t>Solodov</t>
  </si>
  <si>
    <t>Trujillo, Hall</t>
  </si>
  <si>
    <t>Belen</t>
  </si>
  <si>
    <t>Kenney</t>
  </si>
  <si>
    <t>Smith, Lorie</t>
  </si>
  <si>
    <t>Debellis</t>
  </si>
  <si>
    <t>Yabeny</t>
  </si>
  <si>
    <t>Moss</t>
  </si>
  <si>
    <t>Back Half Commission Hold</t>
  </si>
  <si>
    <t>Clovis</t>
  </si>
  <si>
    <t>Fetzer</t>
  </si>
  <si>
    <t>Sanchez, Mike</t>
  </si>
  <si>
    <t>Woodruff</t>
  </si>
  <si>
    <t>Jercinovic</t>
  </si>
  <si>
    <t>Calkins</t>
  </si>
  <si>
    <t>Sanchez, Joey</t>
  </si>
  <si>
    <t>Moriarty</t>
  </si>
  <si>
    <t>Masitti</t>
  </si>
  <si>
    <t>Gatewood</t>
  </si>
  <si>
    <t>Sundheimer</t>
  </si>
  <si>
    <t>Tolman</t>
  </si>
  <si>
    <t>Clauss</t>
  </si>
  <si>
    <t>Cowger</t>
  </si>
  <si>
    <t>Sattell</t>
  </si>
  <si>
    <t>Domingo</t>
  </si>
  <si>
    <t>Aguirre</t>
  </si>
  <si>
    <t>Mora</t>
  </si>
  <si>
    <t>Harvey</t>
  </si>
  <si>
    <t>Full Commission Hold</t>
  </si>
  <si>
    <t>Medina</t>
  </si>
  <si>
    <t>Martinez</t>
  </si>
  <si>
    <t>Burns</t>
  </si>
  <si>
    <t>Bogren</t>
  </si>
  <si>
    <t>Oliver</t>
  </si>
  <si>
    <t>Lees</t>
  </si>
  <si>
    <t>Red River</t>
  </si>
  <si>
    <t>Epperson</t>
  </si>
  <si>
    <t>Polikoff</t>
  </si>
  <si>
    <t>Rodriguez</t>
  </si>
  <si>
    <t>Matt M.</t>
  </si>
  <si>
    <t>Johns</t>
  </si>
  <si>
    <t>Placitas</t>
  </si>
  <si>
    <t>Kingsolver</t>
  </si>
  <si>
    <t>NM Desert</t>
  </si>
  <si>
    <t>Gavin 2</t>
  </si>
  <si>
    <t>Herring</t>
  </si>
  <si>
    <t>Klingbeil</t>
  </si>
  <si>
    <t>Izzo</t>
  </si>
  <si>
    <t>Johnston</t>
  </si>
  <si>
    <t>McDevitt</t>
  </si>
  <si>
    <t>Odwyer</t>
  </si>
  <si>
    <t>Vierra</t>
  </si>
  <si>
    <t>JP</t>
  </si>
  <si>
    <t xml:space="preserve">Vierra </t>
  </si>
  <si>
    <t>Gallegos</t>
  </si>
  <si>
    <t>Faison</t>
  </si>
  <si>
    <t>Sherer</t>
  </si>
  <si>
    <t>Linderman</t>
  </si>
  <si>
    <t>Schoenherr</t>
  </si>
  <si>
    <t>Atencio</t>
  </si>
  <si>
    <t>Lahar</t>
  </si>
  <si>
    <t>Gilmore</t>
  </si>
  <si>
    <t>Fanning</t>
  </si>
  <si>
    <t>Knighton</t>
  </si>
  <si>
    <t>Madrid</t>
  </si>
  <si>
    <t>Kirchner</t>
  </si>
  <si>
    <t>Hovey</t>
  </si>
  <si>
    <t>Pete</t>
  </si>
  <si>
    <t>Vonderheide</t>
  </si>
  <si>
    <t>Kozloski</t>
  </si>
  <si>
    <t>Velasquez</t>
  </si>
  <si>
    <t>Stremsterfer</t>
  </si>
  <si>
    <t>Grants</t>
  </si>
  <si>
    <t>Gregory</t>
  </si>
  <si>
    <t>Gavin 3</t>
  </si>
  <si>
    <t>Levin</t>
  </si>
  <si>
    <t>Chavez, Tommy</t>
  </si>
  <si>
    <t>Schramm</t>
  </si>
  <si>
    <t>Solano</t>
  </si>
  <si>
    <t>Credit card fees lower margin to 48%</t>
  </si>
  <si>
    <t>Singh</t>
  </si>
  <si>
    <t>Brad increased work by 9.5k extra on this job, he received $400 for the change order. About 3% of additional work</t>
  </si>
  <si>
    <t>Diamond</t>
  </si>
  <si>
    <t>Significant CC charge</t>
  </si>
  <si>
    <t>Lucero</t>
  </si>
  <si>
    <t>Hawkins</t>
  </si>
  <si>
    <t>Hopkins</t>
  </si>
  <si>
    <t>D</t>
  </si>
  <si>
    <t>Molina</t>
  </si>
  <si>
    <t>Kahre</t>
  </si>
  <si>
    <t>Jordan</t>
  </si>
  <si>
    <t>Jenkins</t>
  </si>
  <si>
    <t>Oscar</t>
  </si>
  <si>
    <t>Hooper</t>
  </si>
  <si>
    <t>Kuuttila</t>
  </si>
  <si>
    <t>Pederson</t>
  </si>
  <si>
    <t>Griffis</t>
  </si>
  <si>
    <t>Credit card fees lower margin to 41%, ($541.50)</t>
  </si>
  <si>
    <t>Bixby</t>
  </si>
  <si>
    <t>Castillo</t>
  </si>
  <si>
    <t>Aaron</t>
  </si>
  <si>
    <t>Herms</t>
  </si>
  <si>
    <t>Smyser</t>
  </si>
  <si>
    <t>Cabasier</t>
  </si>
  <si>
    <t>Fowler</t>
  </si>
  <si>
    <t>Woods</t>
  </si>
  <si>
    <t>Bute</t>
  </si>
  <si>
    <t>Maxwell</t>
  </si>
  <si>
    <t>Baysinger</t>
  </si>
  <si>
    <t>Bonnell</t>
  </si>
  <si>
    <t>Bettner</t>
  </si>
  <si>
    <t>Credit card fees of $791.35 lower margin to 56%</t>
  </si>
  <si>
    <t>Krumbach</t>
  </si>
  <si>
    <t>Villegas</t>
  </si>
  <si>
    <t>Degalan</t>
  </si>
  <si>
    <t>Marquis</t>
  </si>
  <si>
    <t>Ferris</t>
  </si>
  <si>
    <t>Roberts</t>
  </si>
  <si>
    <t>Credit card fees make margin 54%</t>
  </si>
  <si>
    <t>Lovato</t>
  </si>
  <si>
    <t>Castillo, Elizabeth</t>
  </si>
  <si>
    <t>Credit card fees make margin 57%</t>
  </si>
  <si>
    <t>Dees</t>
  </si>
  <si>
    <t>DesGeorges</t>
  </si>
  <si>
    <t>Foulk</t>
  </si>
  <si>
    <t>Boltman</t>
  </si>
  <si>
    <t>Carlson</t>
  </si>
  <si>
    <t>Credit card fees make margin 53%</t>
  </si>
  <si>
    <t>Mallory</t>
  </si>
  <si>
    <t>Credit card fees make margin 47.2%</t>
  </si>
  <si>
    <t>Currey/Jensen</t>
  </si>
  <si>
    <t>Credit card fees make margin 51.1%</t>
  </si>
  <si>
    <t>Bartley</t>
  </si>
  <si>
    <t>Head</t>
  </si>
  <si>
    <t>Richardson</t>
  </si>
  <si>
    <t>Eggleston</t>
  </si>
  <si>
    <t>Higbie #2</t>
  </si>
  <si>
    <t>Credit card fees make margin 59%</t>
  </si>
  <si>
    <t>Higbie #1</t>
  </si>
  <si>
    <t>Smith, Bruce</t>
  </si>
  <si>
    <t>Garcia, Delores</t>
  </si>
  <si>
    <t>Campbell</t>
  </si>
  <si>
    <t>Johnson</t>
  </si>
  <si>
    <t>Horntvedt</t>
  </si>
  <si>
    <t>Grabowski</t>
  </si>
  <si>
    <t>Tafoya</t>
  </si>
  <si>
    <t>Brad did $3100 change order</t>
  </si>
  <si>
    <t>Galbraith</t>
  </si>
  <si>
    <t>Dozoretz</t>
  </si>
  <si>
    <t>Corriz</t>
  </si>
  <si>
    <t>Mustafa</t>
  </si>
  <si>
    <t>Morris</t>
  </si>
  <si>
    <t>Hughes</t>
  </si>
  <si>
    <t>Credit card fees</t>
  </si>
  <si>
    <t>Oates</t>
  </si>
  <si>
    <t>Barnett</t>
  </si>
  <si>
    <t>Snapka</t>
  </si>
  <si>
    <t>Blaha</t>
  </si>
  <si>
    <t>Quarrell</t>
  </si>
  <si>
    <t>Roerick</t>
  </si>
  <si>
    <t>Friend of Jack's family discount.</t>
  </si>
  <si>
    <t>Corrales</t>
  </si>
  <si>
    <t>Gutierrez, Frankie</t>
  </si>
  <si>
    <t>England</t>
  </si>
  <si>
    <t>TJ Hardware</t>
  </si>
  <si>
    <t>Lavardera</t>
  </si>
  <si>
    <t>Dillon, John</t>
  </si>
  <si>
    <t>Livingston</t>
  </si>
  <si>
    <t>Dugan</t>
  </si>
  <si>
    <t>Huntley</t>
  </si>
  <si>
    <t>Dillon</t>
  </si>
  <si>
    <t>Landesman</t>
  </si>
  <si>
    <t>Fisher</t>
  </si>
  <si>
    <t>Thurston</t>
  </si>
  <si>
    <t>Garcia, Ryan</t>
  </si>
  <si>
    <t>$1035 of credit card fees bring margin to 43.6%</t>
  </si>
  <si>
    <t>Parker</t>
  </si>
  <si>
    <t>Collins</t>
  </si>
  <si>
    <t>Cunningham</t>
  </si>
  <si>
    <t>Mason, Uva</t>
  </si>
  <si>
    <t>Mason, Daniel</t>
  </si>
  <si>
    <t>Sherlock</t>
  </si>
  <si>
    <t>Julagay</t>
  </si>
  <si>
    <t>Smith, David</t>
  </si>
  <si>
    <t>Whitaker</t>
  </si>
  <si>
    <t>Mueller</t>
  </si>
  <si>
    <t>Espanola</t>
  </si>
  <si>
    <t>Martinez, Helen</t>
  </si>
  <si>
    <t>Dohleman</t>
  </si>
  <si>
    <t>Padilla</t>
  </si>
  <si>
    <t>Brewer</t>
  </si>
  <si>
    <t>Benelli</t>
  </si>
  <si>
    <t>Loffredo</t>
  </si>
  <si>
    <t>Duran</t>
  </si>
  <si>
    <t>Springer</t>
  </si>
  <si>
    <t>Marks</t>
  </si>
  <si>
    <t>Seitz</t>
  </si>
  <si>
    <t>Whiterock</t>
  </si>
  <si>
    <t>Keller</t>
  </si>
  <si>
    <t>Hatch</t>
  </si>
  <si>
    <t>Aragon</t>
  </si>
  <si>
    <t>Salazar, Richard</t>
  </si>
  <si>
    <t>Gonzales, Greg</t>
  </si>
  <si>
    <t>Singleton</t>
  </si>
  <si>
    <t>Margin is 45% with credit card fees</t>
  </si>
  <si>
    <t>Ryan</t>
  </si>
  <si>
    <t>True commission is 8.1%, change order is not included in commission sheet.</t>
  </si>
  <si>
    <t>Schutz</t>
  </si>
  <si>
    <t>Walter</t>
  </si>
  <si>
    <t>Lente</t>
  </si>
  <si>
    <t>Xaynhachak</t>
  </si>
  <si>
    <t>Bliss</t>
  </si>
  <si>
    <t>Modaff</t>
  </si>
  <si>
    <t>Castleberry</t>
  </si>
  <si>
    <t>Wood</t>
  </si>
  <si>
    <t>Atchison</t>
  </si>
  <si>
    <t>Boomer</t>
  </si>
  <si>
    <t>Garcia, Susan</t>
  </si>
  <si>
    <t>Burby</t>
  </si>
  <si>
    <t>O'Shea</t>
  </si>
  <si>
    <t>51% margin with credit card fees.</t>
  </si>
  <si>
    <t>Hunt</t>
  </si>
  <si>
    <t>Rapier</t>
  </si>
  <si>
    <t>Agenbroad</t>
  </si>
  <si>
    <t>Liles</t>
  </si>
  <si>
    <t>Fine/Rosul</t>
  </si>
  <si>
    <t>Abeyta</t>
  </si>
  <si>
    <t>Reil</t>
  </si>
  <si>
    <t>Enderich</t>
  </si>
  <si>
    <t>Garcia, Irene</t>
  </si>
  <si>
    <t>Pendergrass</t>
  </si>
  <si>
    <t>Brown, Master B</t>
  </si>
  <si>
    <t>Quan</t>
  </si>
  <si>
    <t>Daniel</t>
  </si>
  <si>
    <t>Willie</t>
  </si>
  <si>
    <t>Becker/Blaha</t>
  </si>
  <si>
    <t>Serna</t>
  </si>
  <si>
    <t>Mangan</t>
  </si>
  <si>
    <t>Arellanas</t>
  </si>
  <si>
    <t>Arellanas 2</t>
  </si>
  <si>
    <t>Venuk</t>
  </si>
  <si>
    <t>T</t>
  </si>
  <si>
    <t>Warrick</t>
  </si>
  <si>
    <t>Simes</t>
  </si>
  <si>
    <t>Brown</t>
  </si>
  <si>
    <t>Brown, Hall B</t>
  </si>
  <si>
    <t>LC-FP</t>
  </si>
  <si>
    <t>LC-IR</t>
  </si>
  <si>
    <t>Tj Hardware</t>
  </si>
  <si>
    <t>Reduced contract amount to 1200 to get out of job. Margin is -801.9%</t>
  </si>
  <si>
    <t>Uncategorized</t>
  </si>
  <si>
    <t>Bath</t>
  </si>
  <si>
    <t>Kitchen</t>
  </si>
  <si>
    <t>Jobs Installed</t>
  </si>
  <si>
    <t>B-FR</t>
  </si>
  <si>
    <t>Brad H</t>
  </si>
  <si>
    <t>Chris M</t>
  </si>
  <si>
    <t>Matt M</t>
  </si>
  <si>
    <t>Mike R</t>
  </si>
  <si>
    <t>Nic R</t>
  </si>
  <si>
    <t>Thomas S</t>
  </si>
  <si>
    <t>Bosque Farms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</si>
</sst>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%"/>
    <numFmt numFmtId="165" formatCode="&quot;$&quot;#,##0.00"/>
    <numFmt numFmtId="166" formatCode="mm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2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39" fontId="1" fillId="0" borderId="0" xfId="0" applyNumberFormat="1" applyFont="1"/>
    <xf numFmtId="164" fontId="0" fillId="0" borderId="0" xfId="0" applyNumberFormat="1"/>
    <xf numFmtId="40" fontId="0" fillId="0" borderId="0" xfId="0" applyNumberFormat="1"/>
    <xf numFmtId="40" fontId="1" fillId="0" borderId="0" xfId="0" applyNumberFormat="1" applyFont="1"/>
    <xf numFmtId="2" fontId="1" fillId="0" borderId="0" xfId="0" applyNumberFormat="1" applyFont="1"/>
    <xf numFmtId="14" fontId="1" fillId="0" borderId="1" xfId="0" applyNumberFormat="1" applyFont="1" applyBorder="1" applyAlignment="1">
      <alignment horizontal="center"/>
    </xf>
    <xf numFmtId="40" fontId="1" fillId="0" borderId="1" xfId="0" applyNumberFormat="1" applyFont="1" applyBorder="1"/>
    <xf numFmtId="40" fontId="0" fillId="0" borderId="1" xfId="0" applyNumberFormat="1" applyBorder="1"/>
    <xf numFmtId="0" fontId="1" fillId="0" borderId="0" xfId="0" applyFont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40" fontId="0" fillId="0" borderId="0" xfId="0" applyNumberFormat="1" applyAlignment="1">
      <alignment horizontal="center"/>
    </xf>
    <xf numFmtId="39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3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Fill="1"/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4" fontId="3" fillId="0" borderId="6" xfId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44" fontId="3" fillId="0" borderId="8" xfId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0" fontId="0" fillId="0" borderId="0" xfId="0" applyFill="1"/>
    <xf numFmtId="10" fontId="0" fillId="0" borderId="19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0" xfId="0" applyFill="1" applyBorder="1" applyAlignment="1"/>
    <xf numFmtId="1" fontId="0" fillId="0" borderId="19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27" xfId="0" applyBorder="1"/>
    <xf numFmtId="0" fontId="0" fillId="0" borderId="10" xfId="0" applyBorder="1"/>
    <xf numFmtId="0" fontId="0" fillId="0" borderId="28" xfId="0" applyBorder="1" applyAlignment="1">
      <alignment horizontal="center"/>
    </xf>
    <xf numFmtId="0" fontId="0" fillId="0" borderId="0" xfId="0" applyBorder="1"/>
    <xf numFmtId="0" fontId="0" fillId="0" borderId="29" xfId="0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9" xfId="0" applyBorder="1" applyAlignment="1">
      <alignment horizontal="left"/>
    </xf>
    <xf numFmtId="0" fontId="0" fillId="0" borderId="27" xfId="0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9" xfId="0" applyBorder="1"/>
    <xf numFmtId="0" fontId="0" fillId="0" borderId="28" xfId="0" applyBorder="1"/>
    <xf numFmtId="0" fontId="0" fillId="0" borderId="11" xfId="0" applyBorder="1"/>
    <xf numFmtId="164" fontId="0" fillId="0" borderId="4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166" fontId="0" fillId="0" borderId="18" xfId="0" applyNumberFormat="1" applyBorder="1" applyAlignment="1">
      <alignment horizontal="center"/>
    </xf>
    <xf numFmtId="10" fontId="0" fillId="0" borderId="32" xfId="0" applyNumberFormat="1" applyBorder="1" applyAlignment="1">
      <alignment horizontal="center"/>
    </xf>
    <xf numFmtId="0" fontId="1" fillId="0" borderId="1" xfId="0" applyFont="1" applyBorder="1"/>
    <xf numFmtId="39" fontId="1" fillId="0" borderId="1" xfId="0" applyNumberFormat="1" applyFont="1" applyBorder="1"/>
    <xf numFmtId="164" fontId="1" fillId="0" borderId="1" xfId="0" applyNumberFormat="1" applyFont="1" applyBorder="1"/>
    <xf numFmtId="40" fontId="1" fillId="0" borderId="2" xfId="0" applyNumberFormat="1" applyFont="1" applyBorder="1"/>
    <xf numFmtId="164" fontId="1" fillId="6" borderId="1" xfId="0" applyNumberFormat="1" applyFont="1" applyFill="1" applyBorder="1"/>
    <xf numFmtId="39" fontId="1" fillId="0" borderId="1" xfId="0" applyNumberFormat="1" applyFont="1" applyFill="1" applyBorder="1"/>
    <xf numFmtId="164" fontId="0" fillId="0" borderId="0" xfId="0" applyNumberFormat="1" applyBorder="1"/>
    <xf numFmtId="10" fontId="0" fillId="0" borderId="0" xfId="0" applyNumberForma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10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0" fillId="4" borderId="2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1" fontId="3" fillId="4" borderId="10" xfId="0" applyNumberFormat="1" applyFont="1" applyFill="1" applyBorder="1" applyAlignment="1">
      <alignment horizontal="center" vertical="center" wrapText="1"/>
    </xf>
    <xf numFmtId="1" fontId="3" fillId="4" borderId="12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0" borderId="15" xfId="0" applyNumberFormat="1" applyFont="1" applyBorder="1" applyAlignment="1">
      <alignment horizontal="center" vertical="center"/>
    </xf>
    <xf numFmtId="10" fontId="4" fillId="0" borderId="14" xfId="0" applyNumberFormat="1" applyFont="1" applyBorder="1" applyAlignment="1">
      <alignment horizontal="center" vertical="center"/>
    </xf>
    <xf numFmtId="10" fontId="4" fillId="0" borderId="15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0" fontId="4" fillId="0" borderId="0" xfId="0" applyNumberFormat="1" applyFont="1" applyFill="1" applyBorder="1" applyAlignment="1">
      <alignment horizontal="center" vertical="center"/>
    </xf>
    <xf numFmtId="10" fontId="4" fillId="0" borderId="10" xfId="0" applyNumberFormat="1" applyFont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505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Margin Analysis'!$D$2</c:f>
              <c:strCache>
                <c:ptCount val="1"/>
                <c:pt idx="0">
                  <c:v>Average margin by product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Margin Analysis'!$D$4:$D$18</c:f>
              <c:numCache>
                <c:formatCode>0.0%</c:formatCode>
                <c:ptCount val="15"/>
                <c:pt idx="0">
                  <c:v>0.43519270638948759</c:v>
                </c:pt>
                <c:pt idx="1">
                  <c:v>0.50951000288474513</c:v>
                </c:pt>
                <c:pt idx="2">
                  <c:v>0.57568418822720224</c:v>
                </c:pt>
                <c:pt idx="3">
                  <c:v>0.53384936256777604</c:v>
                </c:pt>
                <c:pt idx="4">
                  <c:v>0.54771954456181227</c:v>
                </c:pt>
                <c:pt idx="5">
                  <c:v>0.53334363020684383</c:v>
                </c:pt>
                <c:pt idx="6">
                  <c:v>0.56314678928700324</c:v>
                </c:pt>
                <c:pt idx="7">
                  <c:v>0.57851548396110763</c:v>
                </c:pt>
                <c:pt idx="8">
                  <c:v>0.60907914081125181</c:v>
                </c:pt>
                <c:pt idx="9">
                  <c:v>0.55411680274687392</c:v>
                </c:pt>
                <c:pt idx="10">
                  <c:v>0.57274222348108272</c:v>
                </c:pt>
                <c:pt idx="11">
                  <c:v>0.61046832581556965</c:v>
                </c:pt>
                <c:pt idx="12">
                  <c:v>0.46404345609238445</c:v>
                </c:pt>
                <c:pt idx="13">
                  <c:v>0.49824812263088136</c:v>
                </c:pt>
                <c:pt idx="14">
                  <c:v>0.40595721137071605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gapDepth val="100"/>
        <c:shape val="box"/>
        <c:axId val="444207832"/>
        <c:axId val="444208224"/>
        <c:axId val="0"/>
      </c:bar3DChart>
      <c:catAx>
        <c:axId val="44420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08224"/>
        <c:crosses val="autoZero"/>
        <c:auto val="1"/>
        <c:lblAlgn val="ctr"/>
        <c:lblOffset val="100"/>
        <c:noMultiLvlLbl val="0"/>
      </c:catAx>
      <c:valAx>
        <c:axId val="444208224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0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EK</c:v>
                </c:pt>
                <c:pt idx="3">
                  <c:v>En</c:v>
                </c:pt>
                <c:pt idx="4">
                  <c:v>JG</c:v>
                </c:pt>
                <c:pt idx="5">
                  <c:v>JP</c:v>
                </c:pt>
                <c:pt idx="6">
                  <c:v>LJ</c:v>
                </c:pt>
                <c:pt idx="7">
                  <c:v>MW</c:v>
                </c:pt>
              </c:strCache>
            </c:strRef>
          </c:cat>
          <c:val>
            <c:numRef>
              <c:f>'Designer Analysis'!$E$4:$E$11</c:f>
              <c:numCache>
                <c:formatCode>"$"#,##0.00</c:formatCode>
                <c:ptCount val="8"/>
                <c:pt idx="0">
                  <c:v>12333.585438596487</c:v>
                </c:pt>
                <c:pt idx="1">
                  <c:v>11357.894545454545</c:v>
                </c:pt>
                <c:pt idx="2">
                  <c:v>5745.53</c:v>
                </c:pt>
                <c:pt idx="3">
                  <c:v>11723.877179487179</c:v>
                </c:pt>
                <c:pt idx="4">
                  <c:v>15841.856</c:v>
                </c:pt>
                <c:pt idx="5">
                  <c:v>8200.2699999999986</c:v>
                </c:pt>
                <c:pt idx="6">
                  <c:v>20434.545769230768</c:v>
                </c:pt>
                <c:pt idx="7">
                  <c:v>16582.36509090909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0092440"/>
        <c:axId val="540092832"/>
        <c:axId val="0"/>
      </c:bar3DChart>
      <c:catAx>
        <c:axId val="54009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2832"/>
        <c:crosses val="autoZero"/>
        <c:auto val="1"/>
        <c:lblAlgn val="ctr"/>
        <c:lblOffset val="100"/>
        <c:noMultiLvlLbl val="0"/>
      </c:catAx>
      <c:valAx>
        <c:axId val="54009283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EK</c:v>
                </c:pt>
                <c:pt idx="3">
                  <c:v>En</c:v>
                </c:pt>
                <c:pt idx="4">
                  <c:v>JG</c:v>
                </c:pt>
                <c:pt idx="5">
                  <c:v>JP</c:v>
                </c:pt>
                <c:pt idx="6">
                  <c:v>LJ</c:v>
                </c:pt>
                <c:pt idx="7">
                  <c:v>MW</c:v>
                </c:pt>
              </c:strCache>
            </c:strRef>
          </c:cat>
          <c:val>
            <c:numRef>
              <c:f>'Designer Analysis'!$F$4:$F$11</c:f>
              <c:numCache>
                <c:formatCode>0.00%</c:formatCode>
                <c:ptCount val="8"/>
                <c:pt idx="0">
                  <c:v>0.52083067698095153</c:v>
                </c:pt>
                <c:pt idx="1">
                  <c:v>0.52821249318613839</c:v>
                </c:pt>
                <c:pt idx="2">
                  <c:v>0.57632629191736884</c:v>
                </c:pt>
                <c:pt idx="3">
                  <c:v>0.38069339568899219</c:v>
                </c:pt>
                <c:pt idx="4">
                  <c:v>0.46090166362662188</c:v>
                </c:pt>
                <c:pt idx="5">
                  <c:v>0.32614687051464358</c:v>
                </c:pt>
                <c:pt idx="6">
                  <c:v>0.50789226567258472</c:v>
                </c:pt>
                <c:pt idx="7">
                  <c:v>0.55401405880041765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0091656"/>
        <c:axId val="540093224"/>
        <c:axId val="0"/>
      </c:bar3DChart>
      <c:catAx>
        <c:axId val="54009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3224"/>
        <c:crosses val="autoZero"/>
        <c:auto val="1"/>
        <c:lblAlgn val="ctr"/>
        <c:lblOffset val="100"/>
        <c:noMultiLvlLbl val="0"/>
      </c:catAx>
      <c:valAx>
        <c:axId val="5400932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x̅ Comm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EK</c:v>
                </c:pt>
                <c:pt idx="3">
                  <c:v>En</c:v>
                </c:pt>
                <c:pt idx="4">
                  <c:v>JG</c:v>
                </c:pt>
                <c:pt idx="5">
                  <c:v>JP</c:v>
                </c:pt>
                <c:pt idx="6">
                  <c:v>LJ</c:v>
                </c:pt>
                <c:pt idx="7">
                  <c:v>MW</c:v>
                </c:pt>
              </c:strCache>
            </c:strRef>
          </c:cat>
          <c:val>
            <c:numRef>
              <c:f>'Designer Analysis'!$G$4:$G$11</c:f>
              <c:numCache>
                <c:formatCode>0.00%</c:formatCode>
                <c:ptCount val="8"/>
                <c:pt idx="0">
                  <c:v>0.10186531481775973</c:v>
                </c:pt>
                <c:pt idx="1">
                  <c:v>0.10663562002918142</c:v>
                </c:pt>
                <c:pt idx="2">
                  <c:v>0.13650959963658707</c:v>
                </c:pt>
                <c:pt idx="3">
                  <c:v>7.025779688283379E-2</c:v>
                </c:pt>
                <c:pt idx="4">
                  <c:v>7.5806315303063615E-2</c:v>
                </c:pt>
                <c:pt idx="5">
                  <c:v>0</c:v>
                </c:pt>
                <c:pt idx="6">
                  <c:v>0.1038620157023073</c:v>
                </c:pt>
                <c:pt idx="7">
                  <c:v>0.10618931443285233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0094792"/>
        <c:axId val="540095184"/>
        <c:axId val="0"/>
      </c:bar3DChart>
      <c:catAx>
        <c:axId val="54009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5184"/>
        <c:crosses val="autoZero"/>
        <c:auto val="1"/>
        <c:lblAlgn val="ctr"/>
        <c:lblOffset val="100"/>
        <c:noMultiLvlLbl val="0"/>
      </c:catAx>
      <c:valAx>
        <c:axId val="54009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EK</c:v>
                </c:pt>
                <c:pt idx="3">
                  <c:v>En</c:v>
                </c:pt>
                <c:pt idx="4">
                  <c:v>JG</c:v>
                </c:pt>
                <c:pt idx="5">
                  <c:v>JP</c:v>
                </c:pt>
                <c:pt idx="6">
                  <c:v>LJ</c:v>
                </c:pt>
                <c:pt idx="7">
                  <c:v>MW</c:v>
                </c:pt>
              </c:strCache>
            </c:strRef>
          </c:cat>
          <c:val>
            <c:numRef>
              <c:f>'Designer Analysis'!$H$4:$H$11</c:f>
              <c:numCache>
                <c:formatCode>"$"#,##0.00</c:formatCode>
                <c:ptCount val="8"/>
                <c:pt idx="0">
                  <c:v>122.42859649122818</c:v>
                </c:pt>
                <c:pt idx="1">
                  <c:v>315.73381818181821</c:v>
                </c:pt>
                <c:pt idx="2">
                  <c:v>592.28</c:v>
                </c:pt>
                <c:pt idx="3">
                  <c:v>-755.27384615384619</c:v>
                </c:pt>
                <c:pt idx="4">
                  <c:v>-1493.5780000000002</c:v>
                </c:pt>
                <c:pt idx="5">
                  <c:v>0</c:v>
                </c:pt>
                <c:pt idx="6">
                  <c:v>683.65788461538477</c:v>
                </c:pt>
                <c:pt idx="7">
                  <c:v>737.99945454545468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0087736"/>
        <c:axId val="540090088"/>
        <c:axId val="0"/>
      </c:bar3DChart>
      <c:catAx>
        <c:axId val="5400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0088"/>
        <c:crossesAt val="-500"/>
        <c:auto val="1"/>
        <c:lblAlgn val="ctr"/>
        <c:lblOffset val="100"/>
        <c:noMultiLvlLbl val="0"/>
      </c:catAx>
      <c:valAx>
        <c:axId val="54009008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8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EK</c:v>
                </c:pt>
                <c:pt idx="3">
                  <c:v>En</c:v>
                </c:pt>
                <c:pt idx="4">
                  <c:v>JG</c:v>
                </c:pt>
                <c:pt idx="5">
                  <c:v>JP</c:v>
                </c:pt>
                <c:pt idx="6">
                  <c:v>LJ</c:v>
                </c:pt>
                <c:pt idx="7">
                  <c:v>MW</c:v>
                </c:pt>
              </c:strCache>
            </c:strRef>
          </c:cat>
          <c:val>
            <c:numRef>
              <c:f>'Designer Analysis'!$I$4:$I$11</c:f>
              <c:numCache>
                <c:formatCode>"$"#,##0.00</c:formatCode>
                <c:ptCount val="8"/>
                <c:pt idx="0">
                  <c:v>5221</c:v>
                </c:pt>
                <c:pt idx="1">
                  <c:v>2785.4</c:v>
                </c:pt>
                <c:pt idx="2">
                  <c:v>0</c:v>
                </c:pt>
                <c:pt idx="3">
                  <c:v>4656.6899999999996</c:v>
                </c:pt>
                <c:pt idx="4">
                  <c:v>400</c:v>
                </c:pt>
                <c:pt idx="5">
                  <c:v>0</c:v>
                </c:pt>
                <c:pt idx="6">
                  <c:v>2615.5299999999997</c:v>
                </c:pt>
                <c:pt idx="7">
                  <c:v>4400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0090480"/>
        <c:axId val="540090872"/>
        <c:axId val="0"/>
      </c:bar3DChart>
      <c:catAx>
        <c:axId val="54009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0872"/>
        <c:crosses val="autoZero"/>
        <c:auto val="1"/>
        <c:lblAlgn val="ctr"/>
        <c:lblOffset val="100"/>
        <c:noMultiLvlLbl val="0"/>
      </c:catAx>
      <c:valAx>
        <c:axId val="540090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Additional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EK</c:v>
                </c:pt>
                <c:pt idx="3">
                  <c:v>En</c:v>
                </c:pt>
                <c:pt idx="4">
                  <c:v>JG</c:v>
                </c:pt>
                <c:pt idx="5">
                  <c:v>JP</c:v>
                </c:pt>
                <c:pt idx="6">
                  <c:v>LJ</c:v>
                </c:pt>
                <c:pt idx="7">
                  <c:v>MW</c:v>
                </c:pt>
              </c:strCache>
            </c:strRef>
          </c:cat>
          <c:val>
            <c:numRef>
              <c:f>'Designer Analysis'!$J$4:$J$11</c:f>
              <c:numCache>
                <c:formatCode>"$"#,##0.00</c:formatCode>
                <c:ptCount val="8"/>
                <c:pt idx="0">
                  <c:v>91.596491228070178</c:v>
                </c:pt>
                <c:pt idx="1">
                  <c:v>50.643636363636368</c:v>
                </c:pt>
                <c:pt idx="2">
                  <c:v>0</c:v>
                </c:pt>
                <c:pt idx="3">
                  <c:v>119.40230769230769</c:v>
                </c:pt>
                <c:pt idx="4">
                  <c:v>40</c:v>
                </c:pt>
                <c:pt idx="5">
                  <c:v>0</c:v>
                </c:pt>
                <c:pt idx="6">
                  <c:v>50.29865384615384</c:v>
                </c:pt>
                <c:pt idx="7">
                  <c:v>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2078088"/>
        <c:axId val="542080048"/>
        <c:axId val="0"/>
      </c:bar3DChart>
      <c:catAx>
        <c:axId val="54207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0048"/>
        <c:crosses val="autoZero"/>
        <c:auto val="1"/>
        <c:lblAlgn val="ctr"/>
        <c:lblOffset val="100"/>
        <c:noMultiLvlLbl val="0"/>
      </c:catAx>
      <c:valAx>
        <c:axId val="54208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7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Location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Analysis'!$B$4:$B$13</c:f>
              <c:strCache>
                <c:ptCount val="10"/>
                <c:pt idx="0">
                  <c:v>ABQ</c:v>
                </c:pt>
                <c:pt idx="1">
                  <c:v>Bernalillo</c:v>
                </c:pt>
                <c:pt idx="2">
                  <c:v>Los Alamos</c:v>
                </c:pt>
                <c:pt idx="3">
                  <c:v>Los Lunas</c:v>
                </c:pt>
                <c:pt idx="4">
                  <c:v>Rio Rancho</c:v>
                </c:pt>
                <c:pt idx="5">
                  <c:v>Sandia Park</c:v>
                </c:pt>
                <c:pt idx="6">
                  <c:v>Santa Fe</c:v>
                </c:pt>
                <c:pt idx="7">
                  <c:v>Taos</c:v>
                </c:pt>
                <c:pt idx="8">
                  <c:v>Tijeras</c:v>
                </c:pt>
                <c:pt idx="9">
                  <c:v>Valencia</c:v>
                </c:pt>
              </c:strCache>
            </c:strRef>
          </c:cat>
          <c:val>
            <c:numRef>
              <c:f>'Sales Location Analysis'!$C$4:$C$13</c:f>
              <c:numCache>
                <c:formatCode>"$"#,##0.00</c:formatCode>
                <c:ptCount val="10"/>
                <c:pt idx="0">
                  <c:v>2395826.5099999993</c:v>
                </c:pt>
                <c:pt idx="1">
                  <c:v>76413.19</c:v>
                </c:pt>
                <c:pt idx="2">
                  <c:v>30411.200000000001</c:v>
                </c:pt>
                <c:pt idx="3">
                  <c:v>62256.259999999995</c:v>
                </c:pt>
                <c:pt idx="4">
                  <c:v>586634.87000000011</c:v>
                </c:pt>
                <c:pt idx="5">
                  <c:v>59800.350000000006</c:v>
                </c:pt>
                <c:pt idx="6">
                  <c:v>358191.83000000007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2078480"/>
        <c:axId val="542077696"/>
        <c:axId val="0"/>
      </c:bar3DChart>
      <c:catAx>
        <c:axId val="5420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77696"/>
        <c:crosses val="autoZero"/>
        <c:auto val="1"/>
        <c:lblAlgn val="ctr"/>
        <c:lblOffset val="100"/>
        <c:noMultiLvlLbl val="0"/>
      </c:catAx>
      <c:valAx>
        <c:axId val="542077696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7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Analysis'!$B$4:$B$13</c:f>
              <c:strCache>
                <c:ptCount val="10"/>
                <c:pt idx="0">
                  <c:v>ABQ</c:v>
                </c:pt>
                <c:pt idx="1">
                  <c:v>Bernalillo</c:v>
                </c:pt>
                <c:pt idx="2">
                  <c:v>Los Alamos</c:v>
                </c:pt>
                <c:pt idx="3">
                  <c:v>Los Lunas</c:v>
                </c:pt>
                <c:pt idx="4">
                  <c:v>Rio Rancho</c:v>
                </c:pt>
                <c:pt idx="5">
                  <c:v>Sandia Park</c:v>
                </c:pt>
                <c:pt idx="6">
                  <c:v>Santa Fe</c:v>
                </c:pt>
                <c:pt idx="7">
                  <c:v>Taos</c:v>
                </c:pt>
                <c:pt idx="8">
                  <c:v>Tijeras</c:v>
                </c:pt>
                <c:pt idx="9">
                  <c:v>Valencia</c:v>
                </c:pt>
              </c:strCache>
            </c:strRef>
          </c:cat>
          <c:val>
            <c:numRef>
              <c:f>'Sales Location Analysis'!$D$4:$D$13</c:f>
              <c:numCache>
                <c:formatCode>0</c:formatCode>
                <c:ptCount val="10"/>
                <c:pt idx="0">
                  <c:v>168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45</c:v>
                </c:pt>
                <c:pt idx="5">
                  <c:v>3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2079264"/>
        <c:axId val="542078872"/>
        <c:axId val="0"/>
      </c:bar3DChart>
      <c:catAx>
        <c:axId val="54207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78872"/>
        <c:crosses val="autoZero"/>
        <c:auto val="1"/>
        <c:lblAlgn val="ctr"/>
        <c:lblOffset val="100"/>
        <c:noMultiLvlLbl val="0"/>
      </c:catAx>
      <c:valAx>
        <c:axId val="542078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7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Analysis'!$B$4:$B$13</c:f>
              <c:strCache>
                <c:ptCount val="10"/>
                <c:pt idx="0">
                  <c:v>ABQ</c:v>
                </c:pt>
                <c:pt idx="1">
                  <c:v>Bernalillo</c:v>
                </c:pt>
                <c:pt idx="2">
                  <c:v>Los Alamos</c:v>
                </c:pt>
                <c:pt idx="3">
                  <c:v>Los Lunas</c:v>
                </c:pt>
                <c:pt idx="4">
                  <c:v>Rio Rancho</c:v>
                </c:pt>
                <c:pt idx="5">
                  <c:v>Sandia Park</c:v>
                </c:pt>
                <c:pt idx="6">
                  <c:v>Santa Fe</c:v>
                </c:pt>
                <c:pt idx="7">
                  <c:v>Taos</c:v>
                </c:pt>
                <c:pt idx="8">
                  <c:v>Tijeras</c:v>
                </c:pt>
                <c:pt idx="9">
                  <c:v>Valencia</c:v>
                </c:pt>
              </c:strCache>
            </c:strRef>
          </c:cat>
          <c:val>
            <c:numRef>
              <c:f>'Sales Location Analysis'!$E$4:$E$13</c:f>
              <c:numCache>
                <c:formatCode>"$"#,##0.00</c:formatCode>
                <c:ptCount val="10"/>
                <c:pt idx="0">
                  <c:v>14260.87208333333</c:v>
                </c:pt>
                <c:pt idx="1">
                  <c:v>15282.638000000001</c:v>
                </c:pt>
                <c:pt idx="2">
                  <c:v>15205.6</c:v>
                </c:pt>
                <c:pt idx="3">
                  <c:v>15564.064999999999</c:v>
                </c:pt>
                <c:pt idx="4">
                  <c:v>13036.330444444447</c:v>
                </c:pt>
                <c:pt idx="5">
                  <c:v>19933.45</c:v>
                </c:pt>
                <c:pt idx="6">
                  <c:v>17056.753809523812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2082792"/>
        <c:axId val="542080832"/>
        <c:axId val="0"/>
      </c:bar3DChart>
      <c:catAx>
        <c:axId val="54208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0832"/>
        <c:crosses val="autoZero"/>
        <c:auto val="1"/>
        <c:lblAlgn val="ctr"/>
        <c:lblOffset val="100"/>
        <c:noMultiLvlLbl val="0"/>
      </c:catAx>
      <c:valAx>
        <c:axId val="542080832"/>
        <c:scaling>
          <c:orientation val="minMax"/>
          <c:max val="35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Analysis'!$B$4:$B$13</c:f>
              <c:strCache>
                <c:ptCount val="10"/>
                <c:pt idx="0">
                  <c:v>ABQ</c:v>
                </c:pt>
                <c:pt idx="1">
                  <c:v>Bernalillo</c:v>
                </c:pt>
                <c:pt idx="2">
                  <c:v>Los Alamos</c:v>
                </c:pt>
                <c:pt idx="3">
                  <c:v>Los Lunas</c:v>
                </c:pt>
                <c:pt idx="4">
                  <c:v>Rio Rancho</c:v>
                </c:pt>
                <c:pt idx="5">
                  <c:v>Sandia Park</c:v>
                </c:pt>
                <c:pt idx="6">
                  <c:v>Santa Fe</c:v>
                </c:pt>
                <c:pt idx="7">
                  <c:v>Taos</c:v>
                </c:pt>
                <c:pt idx="8">
                  <c:v>Tijeras</c:v>
                </c:pt>
                <c:pt idx="9">
                  <c:v>Valencia</c:v>
                </c:pt>
              </c:strCache>
            </c:strRef>
          </c:cat>
          <c:val>
            <c:numRef>
              <c:f>'Sales Location Analysis'!$F$4:$F$13</c:f>
              <c:numCache>
                <c:formatCode>0.00%</c:formatCode>
                <c:ptCount val="10"/>
                <c:pt idx="0">
                  <c:v>0.49979573079168976</c:v>
                </c:pt>
                <c:pt idx="1">
                  <c:v>0.47082366425747618</c:v>
                </c:pt>
                <c:pt idx="2">
                  <c:v>0.54807932257857883</c:v>
                </c:pt>
                <c:pt idx="3">
                  <c:v>0.5765584889176949</c:v>
                </c:pt>
                <c:pt idx="4">
                  <c:v>0.5207611629860962</c:v>
                </c:pt>
                <c:pt idx="5">
                  <c:v>0.58240038571491182</c:v>
                </c:pt>
                <c:pt idx="6">
                  <c:v>0.47522080048867243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2082008"/>
        <c:axId val="542082400"/>
        <c:axId val="0"/>
      </c:bar3DChart>
      <c:catAx>
        <c:axId val="542082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2400"/>
        <c:crosses val="autoZero"/>
        <c:auto val="1"/>
        <c:lblAlgn val="ctr"/>
        <c:lblOffset val="100"/>
        <c:noMultiLvlLbl val="0"/>
      </c:catAx>
      <c:valAx>
        <c:axId val="54208240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 by Product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Analysis'!$B$23:$B$33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Analysis'!$C$23:$C$33</c:f>
              <c:numCache>
                <c:formatCode>General</c:formatCode>
                <c:ptCount val="1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ysClr val="window" lastClr="FFFFFF">
                  <a:lumMod val="75000"/>
                </a:sys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Margin Analysis'!$B$23:$B$33</c:f>
              <c:strCache>
                <c:ptCount val="6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  <c:pt idx="5">
                  <c:v>Overall average</c:v>
                </c:pt>
              </c:strCache>
            </c:strRef>
          </c:cat>
          <c:val>
            <c:numRef>
              <c:f>'Product Margin Analysis'!$D$23:$D$33</c:f>
              <c:numCache>
                <c:formatCode>0.0%</c:formatCode>
                <c:ptCount val="11"/>
                <c:pt idx="0">
                  <c:v>0.43519270638948759</c:v>
                </c:pt>
                <c:pt idx="1">
                  <c:v>0.50951000288474513</c:v>
                </c:pt>
                <c:pt idx="2">
                  <c:v>0.55074870297012757</c:v>
                </c:pt>
                <c:pt idx="3">
                  <c:v>0.58498439536317715</c:v>
                </c:pt>
                <c:pt idx="4">
                  <c:v>0.45608293003132722</c:v>
                </c:pt>
                <c:pt idx="5">
                  <c:v>0.51615971812194594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7942472"/>
        <c:axId val="447938552"/>
        <c:axId val="0"/>
      </c:bar3DChart>
      <c:catAx>
        <c:axId val="44794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38552"/>
        <c:crosses val="autoZero"/>
        <c:auto val="1"/>
        <c:lblAlgn val="ctr"/>
        <c:lblOffset val="100"/>
        <c:noMultiLvlLbl val="0"/>
      </c:catAx>
      <c:valAx>
        <c:axId val="447938552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Over/Under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Location Analysis'!$B$4:$B$13</c:f>
              <c:strCache>
                <c:ptCount val="10"/>
                <c:pt idx="0">
                  <c:v>ABQ</c:v>
                </c:pt>
                <c:pt idx="1">
                  <c:v>Bernalillo</c:v>
                </c:pt>
                <c:pt idx="2">
                  <c:v>Los Alamos</c:v>
                </c:pt>
                <c:pt idx="3">
                  <c:v>Los Lunas</c:v>
                </c:pt>
                <c:pt idx="4">
                  <c:v>Rio Rancho</c:v>
                </c:pt>
                <c:pt idx="5">
                  <c:v>Sandia Park</c:v>
                </c:pt>
                <c:pt idx="6">
                  <c:v>Santa Fe</c:v>
                </c:pt>
                <c:pt idx="7">
                  <c:v>Taos</c:v>
                </c:pt>
                <c:pt idx="8">
                  <c:v>Tijeras</c:v>
                </c:pt>
                <c:pt idx="9">
                  <c:v>Valencia</c:v>
                </c:pt>
              </c:strCache>
            </c:strRef>
          </c:cat>
          <c:val>
            <c:numRef>
              <c:f>'Sales Location Analysis'!$G$4:$G$13</c:f>
              <c:numCache>
                <c:formatCode>"$"#,##0.00</c:formatCode>
                <c:ptCount val="10"/>
                <c:pt idx="0">
                  <c:v>272.07244047619054</c:v>
                </c:pt>
                <c:pt idx="1">
                  <c:v>77.19800000000005</c:v>
                </c:pt>
                <c:pt idx="2">
                  <c:v>1186.3499999999999</c:v>
                </c:pt>
                <c:pt idx="3">
                  <c:v>394.89</c:v>
                </c:pt>
                <c:pt idx="4">
                  <c:v>317.43844444444449</c:v>
                </c:pt>
                <c:pt idx="5">
                  <c:v>2012.82</c:v>
                </c:pt>
                <c:pt idx="6">
                  <c:v>90.412380952380929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2083576"/>
        <c:axId val="542083968"/>
        <c:axId val="0"/>
      </c:bar3DChart>
      <c:catAx>
        <c:axId val="54208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3968"/>
        <c:crossesAt val="-500"/>
        <c:auto val="1"/>
        <c:lblAlgn val="ctr"/>
        <c:lblOffset val="100"/>
        <c:noMultiLvlLbl val="0"/>
      </c:catAx>
      <c:valAx>
        <c:axId val="542083968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by month'!$C$2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'Sales by month'!$C$4:$C$15</c:f>
              <c:numCache>
                <c:formatCode>"$"#,##0.00</c:formatCode>
                <c:ptCount val="12"/>
                <c:pt idx="0">
                  <c:v>445519.35000000009</c:v>
                </c:pt>
                <c:pt idx="1">
                  <c:v>177661.12999999998</c:v>
                </c:pt>
                <c:pt idx="2">
                  <c:v>223446.62000000002</c:v>
                </c:pt>
                <c:pt idx="3">
                  <c:v>139491.77000000002</c:v>
                </c:pt>
                <c:pt idx="4">
                  <c:v>300668.82</c:v>
                </c:pt>
                <c:pt idx="5">
                  <c:v>383937.43</c:v>
                </c:pt>
                <c:pt idx="6">
                  <c:v>557112.94999999995</c:v>
                </c:pt>
                <c:pt idx="7">
                  <c:v>370443.86</c:v>
                </c:pt>
                <c:pt idx="8">
                  <c:v>563165.88</c:v>
                </c:pt>
                <c:pt idx="9">
                  <c:v>400205.77999999991</c:v>
                </c:pt>
                <c:pt idx="10">
                  <c:v>278153.82</c:v>
                </c:pt>
                <c:pt idx="11">
                  <c:v>110451.16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2084360"/>
        <c:axId val="542077304"/>
        <c:axId val="0"/>
      </c:bar3DChart>
      <c:dateAx>
        <c:axId val="542084360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77304"/>
        <c:crosses val="autoZero"/>
        <c:auto val="1"/>
        <c:lblOffset val="100"/>
        <c:baseTimeUnit val="months"/>
      </c:dateAx>
      <c:valAx>
        <c:axId val="542077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'Sales by month'!$D$4:$D$15</c:f>
              <c:numCache>
                <c:formatCode>0</c:formatCode>
                <c:ptCount val="12"/>
                <c:pt idx="0">
                  <c:v>28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27</c:v>
                </c:pt>
                <c:pt idx="5">
                  <c:v>30</c:v>
                </c:pt>
                <c:pt idx="6">
                  <c:v>40</c:v>
                </c:pt>
                <c:pt idx="7">
                  <c:v>26</c:v>
                </c:pt>
                <c:pt idx="8">
                  <c:v>29</c:v>
                </c:pt>
                <c:pt idx="9">
                  <c:v>27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52383064"/>
        <c:axId val="552386592"/>
        <c:axId val="0"/>
      </c:bar3DChart>
      <c:dateAx>
        <c:axId val="552383064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6592"/>
        <c:crosses val="autoZero"/>
        <c:auto val="1"/>
        <c:lblOffset val="100"/>
        <c:baseTimeUnit val="months"/>
      </c:dateAx>
      <c:valAx>
        <c:axId val="552386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'Sales by month'!$E$4:$E$15</c:f>
              <c:numCache>
                <c:formatCode>"$"#,##0.00</c:formatCode>
                <c:ptCount val="12"/>
                <c:pt idx="0">
                  <c:v>15911.405357142861</c:v>
                </c:pt>
                <c:pt idx="1">
                  <c:v>12690.080714285712</c:v>
                </c:pt>
                <c:pt idx="2">
                  <c:v>13965.413750000002</c:v>
                </c:pt>
                <c:pt idx="3">
                  <c:v>11624.314166666669</c:v>
                </c:pt>
                <c:pt idx="4">
                  <c:v>11135.882222222222</c:v>
                </c:pt>
                <c:pt idx="5">
                  <c:v>12797.914333333332</c:v>
                </c:pt>
                <c:pt idx="6">
                  <c:v>13927.82375</c:v>
                </c:pt>
                <c:pt idx="7">
                  <c:v>14247.840769230768</c:v>
                </c:pt>
                <c:pt idx="8">
                  <c:v>19419.513103448277</c:v>
                </c:pt>
                <c:pt idx="9">
                  <c:v>14822.436296296293</c:v>
                </c:pt>
                <c:pt idx="10">
                  <c:v>21396.447692307695</c:v>
                </c:pt>
                <c:pt idx="11">
                  <c:v>10041.014545454545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52388552"/>
        <c:axId val="552382672"/>
        <c:axId val="0"/>
      </c:bar3DChart>
      <c:dateAx>
        <c:axId val="552388552"/>
        <c:scaling>
          <c:orientation val="minMax"/>
        </c:scaling>
        <c:delete val="0"/>
        <c:axPos val="b"/>
        <c:numFmt formatCode="m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2672"/>
        <c:crosses val="autoZero"/>
        <c:auto val="1"/>
        <c:lblOffset val="100"/>
        <c:baseTimeUnit val="months"/>
      </c:dateAx>
      <c:valAx>
        <c:axId val="5523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Margin</a:t>
            </a:r>
          </a:p>
        </c:rich>
      </c:tx>
      <c:layout>
        <c:manualLayout>
          <c:xMode val="edge"/>
          <c:yMode val="edge"/>
          <c:x val="0.46853544586634166"/>
          <c:y val="1.295546448570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by month'!$B$4:$B$15</c:f>
              <c:numCache>
                <c:formatCode>mmmm</c:formatCode>
                <c:ptCount val="1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</c:numCache>
            </c:numRef>
          </c:cat>
          <c:val>
            <c:numRef>
              <c:f>'Sales by month'!$F$4:$F$15</c:f>
              <c:numCache>
                <c:formatCode>0.00%</c:formatCode>
                <c:ptCount val="12"/>
                <c:pt idx="0">
                  <c:v>0.50696269345277956</c:v>
                </c:pt>
                <c:pt idx="1">
                  <c:v>0.47843654047841461</c:v>
                </c:pt>
                <c:pt idx="2">
                  <c:v>0.44727652816640179</c:v>
                </c:pt>
                <c:pt idx="3">
                  <c:v>0.55402715388311086</c:v>
                </c:pt>
                <c:pt idx="4">
                  <c:v>0.48960461475274597</c:v>
                </c:pt>
                <c:pt idx="5">
                  <c:v>0.52448124769165838</c:v>
                </c:pt>
                <c:pt idx="6">
                  <c:v>0.55438713629376801</c:v>
                </c:pt>
                <c:pt idx="7">
                  <c:v>0.49961857068538446</c:v>
                </c:pt>
                <c:pt idx="8">
                  <c:v>0.4994524369871356</c:v>
                </c:pt>
                <c:pt idx="9">
                  <c:v>0.44508207037061825</c:v>
                </c:pt>
                <c:pt idx="10">
                  <c:v>0.49768538453136818</c:v>
                </c:pt>
                <c:pt idx="11">
                  <c:v>0.46162433697169369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52382280"/>
        <c:axId val="552388160"/>
        <c:axId val="0"/>
      </c:bar3DChart>
      <c:dateAx>
        <c:axId val="552382280"/>
        <c:scaling>
          <c:orientation val="minMax"/>
        </c:scaling>
        <c:delete val="0"/>
        <c:axPos val="b"/>
        <c:numFmt formatCode="m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8160"/>
        <c:crosses val="autoZero"/>
        <c:auto val="1"/>
        <c:lblOffset val="100"/>
        <c:baseTimeUnit val="months"/>
      </c:dateAx>
      <c:valAx>
        <c:axId val="55238816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8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'Product Revenue Analysis'!$D$2</c:f>
              <c:strCache>
                <c:ptCount val="1"/>
                <c:pt idx="0">
                  <c:v>Net Sale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Analysis'!$D$4:$D$18</c:f>
              <c:numCache>
                <c:formatCode>"$"#,##0.00</c:formatCode>
                <c:ptCount val="15"/>
                <c:pt idx="0">
                  <c:v>569616.25</c:v>
                </c:pt>
                <c:pt idx="1">
                  <c:v>743003.24000000011</c:v>
                </c:pt>
                <c:pt idx="2">
                  <c:v>149051.66</c:v>
                </c:pt>
                <c:pt idx="3">
                  <c:v>315800.04000000004</c:v>
                </c:pt>
                <c:pt idx="4">
                  <c:v>283415.77</c:v>
                </c:pt>
                <c:pt idx="5">
                  <c:v>105199.54000000001</c:v>
                </c:pt>
                <c:pt idx="6">
                  <c:v>31659.100000000002</c:v>
                </c:pt>
                <c:pt idx="7">
                  <c:v>47092.69</c:v>
                </c:pt>
                <c:pt idx="8">
                  <c:v>244038.74000000002</c:v>
                </c:pt>
                <c:pt idx="9">
                  <c:v>66303.210000000006</c:v>
                </c:pt>
                <c:pt idx="10">
                  <c:v>203740.71999999997</c:v>
                </c:pt>
                <c:pt idx="11">
                  <c:v>11448.44</c:v>
                </c:pt>
                <c:pt idx="12">
                  <c:v>15043.26</c:v>
                </c:pt>
                <c:pt idx="13">
                  <c:v>217975.24</c:v>
                </c:pt>
                <c:pt idx="14">
                  <c:v>202817.34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7942864"/>
        <c:axId val="447938160"/>
        <c:axId val="0"/>
      </c:bar3DChart>
      <c:catAx>
        <c:axId val="4479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38160"/>
        <c:crosses val="autoZero"/>
        <c:auto val="1"/>
        <c:lblAlgn val="ctr"/>
        <c:lblOffset val="100"/>
        <c:noMultiLvlLbl val="0"/>
      </c:catAx>
      <c:valAx>
        <c:axId val="447938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'Product Revenue Analysis'!$E$2</c:f>
              <c:strCache>
                <c:ptCount val="1"/>
                <c:pt idx="0">
                  <c:v>Average Sale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Analysis'!$C$4:$C$18</c:f>
              <c:strCache>
                <c:ptCount val="15"/>
                <c:pt idx="0">
                  <c:v>B</c:v>
                </c:pt>
                <c:pt idx="1">
                  <c:v>K</c:v>
                </c:pt>
                <c:pt idx="2">
                  <c:v>FP</c:v>
                </c:pt>
                <c:pt idx="3">
                  <c:v>IR</c:v>
                </c:pt>
                <c:pt idx="4">
                  <c:v>LC</c:v>
                </c:pt>
                <c:pt idx="5">
                  <c:v>OP</c:v>
                </c:pt>
                <c:pt idx="6">
                  <c:v>VP</c:v>
                </c:pt>
                <c:pt idx="7">
                  <c:v>SR-206</c:v>
                </c:pt>
                <c:pt idx="8">
                  <c:v>SR-306</c:v>
                </c:pt>
                <c:pt idx="9">
                  <c:v>SR-406</c:v>
                </c:pt>
                <c:pt idx="10">
                  <c:v>SR-VV</c:v>
                </c:pt>
                <c:pt idx="11">
                  <c:v>SCR-WO</c:v>
                </c:pt>
                <c:pt idx="12">
                  <c:v>D</c:v>
                </c:pt>
                <c:pt idx="13">
                  <c:v>W (A)</c:v>
                </c:pt>
                <c:pt idx="14">
                  <c:v>W</c:v>
                </c:pt>
              </c:strCache>
            </c:strRef>
          </c:cat>
          <c:val>
            <c:numRef>
              <c:f>'Product Revenue Analysis'!$E$4:$E$18</c:f>
              <c:numCache>
                <c:formatCode>"$"#,##0.00</c:formatCode>
                <c:ptCount val="15"/>
                <c:pt idx="0">
                  <c:v>8900.25390625</c:v>
                </c:pt>
                <c:pt idx="1">
                  <c:v>24766.774666666672</c:v>
                </c:pt>
                <c:pt idx="2">
                  <c:v>8767.7447058823527</c:v>
                </c:pt>
                <c:pt idx="3">
                  <c:v>12632.001600000001</c:v>
                </c:pt>
                <c:pt idx="4">
                  <c:v>9772.9575862068978</c:v>
                </c:pt>
                <c:pt idx="5">
                  <c:v>21039.908000000003</c:v>
                </c:pt>
                <c:pt idx="6">
                  <c:v>6331.8200000000006</c:v>
                </c:pt>
                <c:pt idx="7">
                  <c:v>15697.563333333334</c:v>
                </c:pt>
                <c:pt idx="8">
                  <c:v>34862.677142857145</c:v>
                </c:pt>
                <c:pt idx="9">
                  <c:v>33151.605000000003</c:v>
                </c:pt>
                <c:pt idx="10">
                  <c:v>29105.81714285714</c:v>
                </c:pt>
                <c:pt idx="11">
                  <c:v>11448.44</c:v>
                </c:pt>
                <c:pt idx="12">
                  <c:v>7521.63</c:v>
                </c:pt>
                <c:pt idx="13">
                  <c:v>8383.663076923076</c:v>
                </c:pt>
                <c:pt idx="14">
                  <c:v>14486.952857142856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7943256"/>
        <c:axId val="44794364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'Product Revenue Analysis'!$D$2</c15:sqref>
                        </c15:formulaRef>
                      </c:ext>
                    </c:extLst>
                    <c:strCache>
                      <c:ptCount val="1"/>
                      <c:pt idx="0">
                        <c:v>Net Sale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'Product Revenue Analysis'!$C$4:$C$18</c15:sqref>
                        </c15:formulaRef>
                      </c:ext>
                    </c:extLst>
                    <c:strCache>
                      <c:ptCount val="15"/>
                      <c:pt idx="0">
                        <c:v>B</c:v>
                      </c:pt>
                      <c:pt idx="1">
                        <c:v>K</c:v>
                      </c:pt>
                      <c:pt idx="2">
                        <c:v>FP</c:v>
                      </c:pt>
                      <c:pt idx="3">
                        <c:v>IR</c:v>
                      </c:pt>
                      <c:pt idx="4">
                        <c:v>LC</c:v>
                      </c:pt>
                      <c:pt idx="5">
                        <c:v>OP</c:v>
                      </c:pt>
                      <c:pt idx="6">
                        <c:v>VP</c:v>
                      </c:pt>
                      <c:pt idx="7">
                        <c:v>SR-206</c:v>
                      </c:pt>
                      <c:pt idx="8">
                        <c:v>SR-306</c:v>
                      </c:pt>
                      <c:pt idx="9">
                        <c:v>SR-406</c:v>
                      </c:pt>
                      <c:pt idx="10">
                        <c:v>SR-VV</c:v>
                      </c:pt>
                      <c:pt idx="11">
                        <c:v>SCR-WO</c:v>
                      </c:pt>
                      <c:pt idx="12">
                        <c:v>D</c:v>
                      </c:pt>
                      <c:pt idx="13">
                        <c:v>W (A)</c:v>
                      </c:pt>
                      <c:pt idx="14">
                        <c:v>W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'Product Revenue Analysis'!$D$4:$D$18</c15:sqref>
                        </c15:formulaRef>
                      </c:ext>
                    </c:extLst>
                    <c:numCache>
                      <c:formatCode>"$"#,##0.00</c:formatCode>
                      <c:ptCount val="15"/>
                      <c:pt idx="0">
                        <c:v>569616.25</c:v>
                      </c:pt>
                      <c:pt idx="1">
                        <c:v>743003.24000000011</c:v>
                      </c:pt>
                      <c:pt idx="2">
                        <c:v>149051.66</c:v>
                      </c:pt>
                      <c:pt idx="3">
                        <c:v>315800.04000000004</c:v>
                      </c:pt>
                      <c:pt idx="4">
                        <c:v>283415.77</c:v>
                      </c:pt>
                      <c:pt idx="5">
                        <c:v>105199.54000000001</c:v>
                      </c:pt>
                      <c:pt idx="6">
                        <c:v>31659.100000000002</c:v>
                      </c:pt>
                      <c:pt idx="7">
                        <c:v>47092.69</c:v>
                      </c:pt>
                      <c:pt idx="8">
                        <c:v>244038.74000000002</c:v>
                      </c:pt>
                      <c:pt idx="9">
                        <c:v>66303.210000000006</c:v>
                      </c:pt>
                      <c:pt idx="10">
                        <c:v>203740.71999999997</c:v>
                      </c:pt>
                      <c:pt idx="11">
                        <c:v>11448.44</c:v>
                      </c:pt>
                      <c:pt idx="12">
                        <c:v>15043.26</c:v>
                      </c:pt>
                      <c:pt idx="13">
                        <c:v>217975.24</c:v>
                      </c:pt>
                      <c:pt idx="14">
                        <c:v>202817.34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7B2E-42DF-B7AE-C73110D5DC8B}"/>
                  </c:ext>
                </c:extLst>
              </c15:ser>
            </c15:filteredBarSeries>
          </c:ext>
        </c:extLst>
      </c:bar3DChart>
      <c:catAx>
        <c:axId val="44794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3648"/>
        <c:crosses val="autoZero"/>
        <c:auto val="1"/>
        <c:lblAlgn val="ctr"/>
        <c:lblOffset val="100"/>
        <c:noMultiLvlLbl val="0"/>
      </c:catAx>
      <c:valAx>
        <c:axId val="447943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Analysis'!$B$23:$B$28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Analysis'!$C$23:$C$28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ser>
          <c:idx val="1"/>
          <c:order val="1"/>
          <c:spPr>
            <a:solidFill>
              <a:srgbClr val="5B9BD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5B9BD5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rgbClr val="70AD47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FFC000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Revenue Analysis'!$B$23:$B$28</c:f>
              <c:strCache>
                <c:ptCount val="5"/>
                <c:pt idx="0">
                  <c:v>Bath</c:v>
                </c:pt>
                <c:pt idx="1">
                  <c:v>Kitchen</c:v>
                </c:pt>
                <c:pt idx="2">
                  <c:v>Patio Covers</c:v>
                </c:pt>
                <c:pt idx="3">
                  <c:v>Sunroom</c:v>
                </c:pt>
                <c:pt idx="4">
                  <c:v>Windows</c:v>
                </c:pt>
              </c:strCache>
            </c:strRef>
          </c:cat>
          <c:val>
            <c:numRef>
              <c:f>'Product Revenue Analysis'!$D$23:$D$28</c:f>
              <c:numCache>
                <c:formatCode>"$"#,##0.00</c:formatCode>
                <c:ptCount val="6"/>
                <c:pt idx="0">
                  <c:v>569616.25</c:v>
                </c:pt>
                <c:pt idx="1">
                  <c:v>743003.24000000011</c:v>
                </c:pt>
                <c:pt idx="2">
                  <c:v>885126.1100000001</c:v>
                </c:pt>
                <c:pt idx="3">
                  <c:v>572623.80000000005</c:v>
                </c:pt>
                <c:pt idx="4">
                  <c:v>435835.83999999997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7945216"/>
        <c:axId val="447940512"/>
        <c:axId val="0"/>
      </c:bar3DChart>
      <c:catAx>
        <c:axId val="447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0512"/>
        <c:crosses val="autoZero"/>
        <c:auto val="1"/>
        <c:lblAlgn val="ctr"/>
        <c:lblOffset val="100"/>
        <c:noMultiLvlLbl val="0"/>
      </c:catAx>
      <c:valAx>
        <c:axId val="447940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Analysis'!$C$4:$C$22</c:f>
              <c:strCache>
                <c:ptCount val="19"/>
                <c:pt idx="0">
                  <c:v>Brad H.</c:v>
                </c:pt>
                <c:pt idx="1">
                  <c:v>Chris M.</c:v>
                </c:pt>
                <c:pt idx="2">
                  <c:v>Darant</c:v>
                </c:pt>
                <c:pt idx="3">
                  <c:v>Gatewood</c:v>
                </c:pt>
                <c:pt idx="4">
                  <c:v>Mike R.</c:v>
                </c:pt>
                <c:pt idx="5">
                  <c:v>Tj Hardware</c:v>
                </c:pt>
                <c:pt idx="6">
                  <c:v>Walter</c:v>
                </c:pt>
                <c:pt idx="7">
                  <c:v>Inn. Design</c:v>
                </c:pt>
                <c:pt idx="8">
                  <c:v>Marco</c:v>
                </c:pt>
                <c:pt idx="9">
                  <c:v>Matt M.</c:v>
                </c:pt>
                <c:pt idx="10">
                  <c:v>Nic R.</c:v>
                </c:pt>
                <c:pt idx="11">
                  <c:v>Oscar</c:v>
                </c:pt>
                <c:pt idx="12">
                  <c:v>Pete</c:v>
                </c:pt>
                <c:pt idx="13">
                  <c:v>Romo</c:v>
                </c:pt>
                <c:pt idx="14">
                  <c:v>DIY</c:v>
                </c:pt>
                <c:pt idx="15">
                  <c:v>Don</c:v>
                </c:pt>
                <c:pt idx="16">
                  <c:v>Manuel</c:v>
                </c:pt>
                <c:pt idx="17">
                  <c:v>NM Desert</c:v>
                </c:pt>
                <c:pt idx="18">
                  <c:v>Thomas</c:v>
                </c:pt>
              </c:strCache>
            </c:strRef>
          </c:cat>
          <c:val>
            <c:numRef>
              <c:f>'Installer Analysis'!$D$4:$D$22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0.50484803198079808</c:v>
                </c:pt>
                <c:pt idx="3">
                  <c:v>0.54821287306724198</c:v>
                </c:pt>
                <c:pt idx="4">
                  <c:v>0</c:v>
                </c:pt>
                <c:pt idx="5">
                  <c:v>0.63195346961717525</c:v>
                </c:pt>
                <c:pt idx="6">
                  <c:v>0.37076742979039384</c:v>
                </c:pt>
                <c:pt idx="7">
                  <c:v>0.51174765194265093</c:v>
                </c:pt>
                <c:pt idx="8">
                  <c:v>0.48757539358781066</c:v>
                </c:pt>
                <c:pt idx="9">
                  <c:v>0</c:v>
                </c:pt>
                <c:pt idx="10">
                  <c:v>0</c:v>
                </c:pt>
                <c:pt idx="11">
                  <c:v>0.58545900920692695</c:v>
                </c:pt>
                <c:pt idx="12">
                  <c:v>0.5357285109926917</c:v>
                </c:pt>
                <c:pt idx="13">
                  <c:v>0.5777749125982492</c:v>
                </c:pt>
                <c:pt idx="14">
                  <c:v>0.68101380205835471</c:v>
                </c:pt>
                <c:pt idx="15">
                  <c:v>0.77114407063072699</c:v>
                </c:pt>
                <c:pt idx="16">
                  <c:v>0.4820307087647473</c:v>
                </c:pt>
                <c:pt idx="17">
                  <c:v>0.18568220729970605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7940904"/>
        <c:axId val="447939728"/>
        <c:axId val="0"/>
      </c:bar3DChart>
      <c:catAx>
        <c:axId val="44794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39728"/>
        <c:crosses val="autoZero"/>
        <c:auto val="1"/>
        <c:lblAlgn val="ctr"/>
        <c:lblOffset val="100"/>
        <c:noMultiLvlLbl val="0"/>
      </c:catAx>
      <c:valAx>
        <c:axId val="447939728"/>
        <c:scaling>
          <c:orientation val="minMax"/>
          <c:max val="0.8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Jobs</a:t>
            </a:r>
            <a:r>
              <a:rPr lang="en-US" baseline="0"/>
              <a:t> Installed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'Installer Analysis'!$C$4:$C$22</c:f>
              <c:strCache>
                <c:ptCount val="19"/>
                <c:pt idx="0">
                  <c:v>Brad H.</c:v>
                </c:pt>
                <c:pt idx="1">
                  <c:v>Chris M.</c:v>
                </c:pt>
                <c:pt idx="2">
                  <c:v>Darant</c:v>
                </c:pt>
                <c:pt idx="3">
                  <c:v>Gatewood</c:v>
                </c:pt>
                <c:pt idx="4">
                  <c:v>Mike R.</c:v>
                </c:pt>
                <c:pt idx="5">
                  <c:v>Tj Hardware</c:v>
                </c:pt>
                <c:pt idx="6">
                  <c:v>Walter</c:v>
                </c:pt>
                <c:pt idx="7">
                  <c:v>Inn. Design</c:v>
                </c:pt>
                <c:pt idx="8">
                  <c:v>Marco</c:v>
                </c:pt>
                <c:pt idx="9">
                  <c:v>Matt M.</c:v>
                </c:pt>
                <c:pt idx="10">
                  <c:v>Nic R.</c:v>
                </c:pt>
                <c:pt idx="11">
                  <c:v>Oscar</c:v>
                </c:pt>
                <c:pt idx="12">
                  <c:v>Pete</c:v>
                </c:pt>
                <c:pt idx="13">
                  <c:v>Romo</c:v>
                </c:pt>
                <c:pt idx="14">
                  <c:v>DIY</c:v>
                </c:pt>
                <c:pt idx="15">
                  <c:v>Don</c:v>
                </c:pt>
                <c:pt idx="16">
                  <c:v>Manuel</c:v>
                </c:pt>
                <c:pt idx="17">
                  <c:v>NM Desert</c:v>
                </c:pt>
                <c:pt idx="18">
                  <c:v>Thomas</c:v>
                </c:pt>
              </c:strCache>
            </c:strRef>
          </c:cat>
          <c:val>
            <c:numRef>
              <c:f>'Installer Analysis'!$E$4:$E$22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27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7940120"/>
        <c:axId val="447944432"/>
        <c:axId val="0"/>
      </c:bar3DChart>
      <c:catAx>
        <c:axId val="44794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4432"/>
        <c:crosses val="autoZero"/>
        <c:auto val="1"/>
        <c:lblAlgn val="ctr"/>
        <c:lblOffset val="100"/>
        <c:noMultiLvlLbl val="0"/>
      </c:catAx>
      <c:valAx>
        <c:axId val="44794443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0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'Designer Analysis'!$C$2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EK</c:v>
                </c:pt>
                <c:pt idx="3">
                  <c:v>En</c:v>
                </c:pt>
                <c:pt idx="4">
                  <c:v>JG</c:v>
                </c:pt>
                <c:pt idx="5">
                  <c:v>JP</c:v>
                </c:pt>
                <c:pt idx="6">
                  <c:v>LJ</c:v>
                </c:pt>
                <c:pt idx="7">
                  <c:v>MW</c:v>
                </c:pt>
              </c:strCache>
            </c:strRef>
          </c:cat>
          <c:val>
            <c:numRef>
              <c:f>'Designer Analysis'!$C$4:$C$11</c:f>
              <c:numCache>
                <c:formatCode>"$"#,##0.00</c:formatCode>
                <c:ptCount val="8"/>
                <c:pt idx="0">
                  <c:v>703014.36999999976</c:v>
                </c:pt>
                <c:pt idx="1">
                  <c:v>624684.19999999995</c:v>
                </c:pt>
                <c:pt idx="2">
                  <c:v>5745.53</c:v>
                </c:pt>
                <c:pt idx="3">
                  <c:v>457231.20999999996</c:v>
                </c:pt>
                <c:pt idx="4">
                  <c:v>158418.56</c:v>
                </c:pt>
                <c:pt idx="5">
                  <c:v>24600.809999999998</c:v>
                </c:pt>
                <c:pt idx="6">
                  <c:v>1062596.3799999999</c:v>
                </c:pt>
                <c:pt idx="7">
                  <c:v>912030.08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447942080"/>
        <c:axId val="540094400"/>
        <c:axId val="0"/>
      </c:bar3DChart>
      <c:catAx>
        <c:axId val="4479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4400"/>
        <c:crosses val="autoZero"/>
        <c:auto val="1"/>
        <c:lblAlgn val="ctr"/>
        <c:lblOffset val="100"/>
        <c:noMultiLvlLbl val="0"/>
      </c:catAx>
      <c:valAx>
        <c:axId val="540094400"/>
        <c:scaling>
          <c:orientation val="minMax"/>
          <c:max val="9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4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#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'Designer Analysis'!$B$4:$B$11</c:f>
              <c:strCache>
                <c:ptCount val="8"/>
                <c:pt idx="0">
                  <c:v>BS</c:v>
                </c:pt>
                <c:pt idx="1">
                  <c:v>CD</c:v>
                </c:pt>
                <c:pt idx="2">
                  <c:v>EK</c:v>
                </c:pt>
                <c:pt idx="3">
                  <c:v>En</c:v>
                </c:pt>
                <c:pt idx="4">
                  <c:v>JG</c:v>
                </c:pt>
                <c:pt idx="5">
                  <c:v>JP</c:v>
                </c:pt>
                <c:pt idx="6">
                  <c:v>LJ</c:v>
                </c:pt>
                <c:pt idx="7">
                  <c:v>MW</c:v>
                </c:pt>
              </c:strCache>
            </c:strRef>
          </c:cat>
          <c:val>
            <c:numRef>
              <c:f>'Designer Analysis'!$D$4:$D$11</c:f>
              <c:numCache>
                <c:formatCode>0</c:formatCode>
                <c:ptCount val="8"/>
                <c:pt idx="0">
                  <c:v>57</c:v>
                </c:pt>
                <c:pt idx="1">
                  <c:v>55</c:v>
                </c:pt>
                <c:pt idx="2">
                  <c:v>1</c:v>
                </c:pt>
                <c:pt idx="3">
                  <c:v>39</c:v>
                </c:pt>
                <c:pt idx="4">
                  <c:v>10</c:v>
                </c:pt>
                <c:pt idx="5">
                  <c:v>3</c:v>
                </c:pt>
                <c:pt idx="6">
                  <c:v>52</c:v>
                </c:pt>
                <c:pt idx="7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E-42DF-B7AE-C73110D5D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gapDepth val="100"/>
        <c:shape val="box"/>
        <c:axId val="540092048"/>
        <c:axId val="540088520"/>
        <c:axId val="0"/>
      </c:bar3DChart>
      <c:catAx>
        <c:axId val="5400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88520"/>
        <c:crosses val="autoZero"/>
        <c:auto val="1"/>
        <c:lblAlgn val="ctr"/>
        <c:lblOffset val="100"/>
        <c:noMultiLvlLbl val="0"/>
      </c:catAx>
      <c:valAx>
        <c:axId val="540088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</xdr:rowOff>
    </xdr:from>
    <xdr:to>
      <xdr:col>28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14287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28</xdr:col>
      <xdr:colOff>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36</xdr:row>
      <xdr:rowOff>180975</xdr:rowOff>
    </xdr:from>
    <xdr:to>
      <xdr:col>28</xdr:col>
      <xdr:colOff>0</xdr:colOff>
      <xdr:row>73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74</xdr:row>
      <xdr:rowOff>14286</xdr:rowOff>
    </xdr:from>
    <xdr:to>
      <xdr:col>28</xdr:col>
      <xdr:colOff>0</xdr:colOff>
      <xdr:row>109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9525</xdr:rowOff>
    </xdr:from>
    <xdr:to>
      <xdr:col>28</xdr:col>
      <xdr:colOff>590550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37</xdr:row>
      <xdr:rowOff>0</xdr:rowOff>
    </xdr:from>
    <xdr:to>
      <xdr:col>29</xdr:col>
      <xdr:colOff>0</xdr:colOff>
      <xdr:row>67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15</xdr:row>
      <xdr:rowOff>9525</xdr:rowOff>
    </xdr:from>
    <xdr:to>
      <xdr:col>23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46</xdr:row>
      <xdr:rowOff>195261</xdr:rowOff>
    </xdr:from>
    <xdr:to>
      <xdr:col>23</xdr:col>
      <xdr:colOff>9525</xdr:colOff>
      <xdr:row>77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79</xdr:row>
      <xdr:rowOff>14287</xdr:rowOff>
    </xdr:from>
    <xdr:to>
      <xdr:col>22</xdr:col>
      <xdr:colOff>609599</xdr:colOff>
      <xdr:row>110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111</xdr:row>
      <xdr:rowOff>14287</xdr:rowOff>
    </xdr:from>
    <xdr:to>
      <xdr:col>22</xdr:col>
      <xdr:colOff>600074</xdr:colOff>
      <xdr:row>141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143</xdr:row>
      <xdr:rowOff>4762</xdr:rowOff>
    </xdr:from>
    <xdr:to>
      <xdr:col>23</xdr:col>
      <xdr:colOff>9525</xdr:colOff>
      <xdr:row>173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175</xdr:row>
      <xdr:rowOff>14286</xdr:rowOff>
    </xdr:from>
    <xdr:to>
      <xdr:col>22</xdr:col>
      <xdr:colOff>600075</xdr:colOff>
      <xdr:row>205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207</xdr:row>
      <xdr:rowOff>14287</xdr:rowOff>
    </xdr:from>
    <xdr:to>
      <xdr:col>23</xdr:col>
      <xdr:colOff>0</xdr:colOff>
      <xdr:row>238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9524</xdr:colOff>
      <xdr:row>239</xdr:row>
      <xdr:rowOff>14286</xdr:rowOff>
    </xdr:from>
    <xdr:to>
      <xdr:col>22</xdr:col>
      <xdr:colOff>609599</xdr:colOff>
      <xdr:row>269</xdr:row>
      <xdr:rowOff>190499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16</xdr:row>
      <xdr:rowOff>9525</xdr:rowOff>
    </xdr:from>
    <xdr:to>
      <xdr:col>23</xdr:col>
      <xdr:colOff>0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47</xdr:row>
      <xdr:rowOff>195261</xdr:rowOff>
    </xdr:from>
    <xdr:to>
      <xdr:col>23</xdr:col>
      <xdr:colOff>9525</xdr:colOff>
      <xdr:row>78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80</xdr:row>
      <xdr:rowOff>14287</xdr:rowOff>
    </xdr:from>
    <xdr:to>
      <xdr:col>22</xdr:col>
      <xdr:colOff>609599</xdr:colOff>
      <xdr:row>111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112</xdr:row>
      <xdr:rowOff>14287</xdr:rowOff>
    </xdr:from>
    <xdr:to>
      <xdr:col>22</xdr:col>
      <xdr:colOff>600074</xdr:colOff>
      <xdr:row>142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144</xdr:row>
      <xdr:rowOff>4761</xdr:rowOff>
    </xdr:from>
    <xdr:to>
      <xdr:col>22</xdr:col>
      <xdr:colOff>600075</xdr:colOff>
      <xdr:row>174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18</xdr:row>
      <xdr:rowOff>9525</xdr:rowOff>
    </xdr:from>
    <xdr:to>
      <xdr:col>23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49</xdr:row>
      <xdr:rowOff>195261</xdr:rowOff>
    </xdr:from>
    <xdr:to>
      <xdr:col>23</xdr:col>
      <xdr:colOff>9525</xdr:colOff>
      <xdr:row>80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82</xdr:row>
      <xdr:rowOff>14287</xdr:rowOff>
    </xdr:from>
    <xdr:to>
      <xdr:col>22</xdr:col>
      <xdr:colOff>609599</xdr:colOff>
      <xdr:row>113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161924</xdr:colOff>
      <xdr:row>114</xdr:row>
      <xdr:rowOff>14287</xdr:rowOff>
    </xdr:from>
    <xdr:to>
      <xdr:col>22</xdr:col>
      <xdr:colOff>600074</xdr:colOff>
      <xdr:row>144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00"/>
  <sheetViews>
    <sheetView showGridLines="0" tabSelected="1" zoomScale="90" zoomScaleNormal="90" workbookViewId="0">
      <pane ySplit="4" topLeftCell="A5" activePane="bottomLeft" state="frozen"/>
      <selection activeCell="C1" sqref="C1"/>
      <selection pane="bottomLeft" activeCell="E2" sqref="E2"/>
    </sheetView>
  </sheetViews>
  <sheetFormatPr defaultRowHeight="15" x14ac:dyDescent="0.25"/>
  <cols>
    <col min="1" max="1" width="2" customWidth="1"/>
    <col min="2" max="2" width="5.85546875" customWidth="1"/>
    <col min="3" max="3" width="12" style="1" customWidth="1"/>
    <col min="4" max="4" width="11.28515625" style="1" customWidth="1"/>
    <col min="5" max="5" width="11.42578125" style="1" bestFit="1" customWidth="1"/>
    <col min="6" max="6" width="17.28515625" style="1" customWidth="1"/>
    <col min="7" max="7" width="17.85546875" style="15" customWidth="1"/>
    <col min="8" max="8" width="12.5703125" style="1" customWidth="1"/>
    <col min="9" max="9" width="15.7109375" style="20" bestFit="1" customWidth="1"/>
    <col min="10" max="10" width="16.85546875" style="20" bestFit="1" customWidth="1"/>
    <col min="11" max="11" width="10.42578125" style="14" customWidth="1"/>
    <col min="12" max="12" width="15" style="20" customWidth="1"/>
    <col min="13" max="13" width="10.42578125" style="14" customWidth="1"/>
    <col min="14" max="14" width="16" style="17" customWidth="1"/>
    <col min="15" max="16" width="15.5703125" style="17" customWidth="1"/>
    <col min="17" max="17" width="116.85546875" style="7" customWidth="1"/>
    <col min="18" max="18" width="12" bestFit="1" customWidth="1"/>
    <col min="21" max="21" width="11.85546875" bestFit="1" customWidth="1"/>
  </cols>
  <sheetData>
    <row r="1" spans="2:21" ht="32.25" customHeight="1" x14ac:dyDescent="0.35">
      <c r="F1" s="108" t="s">
        <v>87</v>
      </c>
      <c r="G1" s="108"/>
      <c r="H1" s="108"/>
      <c r="I1" s="108"/>
      <c r="J1" s="108"/>
      <c r="K1" s="108"/>
      <c r="L1" s="108"/>
      <c r="M1" s="108"/>
    </row>
    <row r="2" spans="2:21" s="2" customFormat="1" ht="9" customHeight="1" thickBot="1" x14ac:dyDescent="0.3">
      <c r="C2" s="3"/>
      <c r="D2" s="3"/>
      <c r="E2" s="3"/>
      <c r="F2" s="3"/>
      <c r="G2" s="21"/>
      <c r="H2" s="3"/>
      <c r="I2" s="18"/>
      <c r="J2" s="18"/>
      <c r="K2" s="16"/>
      <c r="L2" s="18"/>
      <c r="M2" s="16"/>
      <c r="N2" s="19"/>
      <c r="O2" s="19"/>
      <c r="P2" s="19"/>
      <c r="Q2" s="8"/>
    </row>
    <row r="3" spans="2:21" s="2" customFormat="1" ht="22.5" customHeight="1" thickBot="1" x14ac:dyDescent="0.3">
      <c r="C3" s="3"/>
      <c r="D3" s="3"/>
      <c r="E3" s="3"/>
      <c r="F3" s="4"/>
      <c r="G3" s="109" t="s">
        <v>82</v>
      </c>
      <c r="H3" s="110"/>
      <c r="I3" s="31">
        <f>SUM(I5:INDEX(I5:I1048576,MATCH(TRUE,INDEX(ISBLANK(I5:I1048576),0,0),0)-1,0))</f>
        <v>3950258.5700000012</v>
      </c>
      <c r="J3" s="28">
        <f>SUM(J5:INDEX(J5:J1048576,MATCH(TRUE,INDEX(ISBLANK(J5:J1048576),0,0),0)-1,0))</f>
        <v>1911294.2199999993</v>
      </c>
      <c r="K3" s="29">
        <f>(I3-J3)/I3</f>
        <v>0.51615971812194594</v>
      </c>
      <c r="L3" s="28">
        <f>SUM(L5:INDEX(L5:L1048576,MATCH(TRUE,INDEX(ISBLANK(L5:L1048576),0,0),0)-1,0))</f>
        <v>392029.95471271029</v>
      </c>
      <c r="M3" s="29">
        <f>L3/I3</f>
        <v>9.9241593370610712E-2</v>
      </c>
      <c r="N3" s="28">
        <f>SUM(N5:INDEX(N5:N1048576,MATCH(TRUE,INDEX(ISBLANK(N5:N1048576),0,0),0)-1,0))</f>
        <v>62630.17</v>
      </c>
      <c r="O3" s="28">
        <f>SUM(O5:INDEX(O5:O1048576,MATCH(TRUE,INDEX(ISBLANK(O5:O1048576),0,0),0)-1,0))</f>
        <v>19197.53</v>
      </c>
      <c r="P3" s="30">
        <f>SUM(P5:INDEX(P5:P1048576,MATCH(TRUE,INDEX(ISBLANK(P5:P1048576),0,0),0)-1,0))</f>
        <v>4005.63</v>
      </c>
      <c r="Q3" s="8"/>
    </row>
    <row r="4" spans="2:21" s="24" customFormat="1" ht="18" customHeight="1" thickBot="1" x14ac:dyDescent="0.3">
      <c r="B4" s="24" t="s">
        <v>25</v>
      </c>
      <c r="C4" s="24" t="s">
        <v>9</v>
      </c>
      <c r="D4" s="24" t="s">
        <v>22</v>
      </c>
      <c r="E4" s="24" t="s">
        <v>8</v>
      </c>
      <c r="F4" s="24" t="s">
        <v>0</v>
      </c>
      <c r="G4" s="24" t="s">
        <v>7</v>
      </c>
      <c r="H4" s="24" t="s">
        <v>2</v>
      </c>
      <c r="I4" s="25" t="s">
        <v>3</v>
      </c>
      <c r="J4" s="25" t="s">
        <v>1</v>
      </c>
      <c r="K4" s="26" t="s">
        <v>4</v>
      </c>
      <c r="L4" s="25" t="s">
        <v>5</v>
      </c>
      <c r="M4" s="26" t="s">
        <v>6</v>
      </c>
      <c r="N4" s="27" t="s">
        <v>10</v>
      </c>
      <c r="O4" s="27" t="s">
        <v>11</v>
      </c>
      <c r="P4" s="27" t="s">
        <v>36</v>
      </c>
      <c r="Q4" s="27" t="s">
        <v>55</v>
      </c>
    </row>
    <row r="5" spans="2:21" s="2" customFormat="1" ht="15.75" x14ac:dyDescent="0.25">
      <c r="B5" s="22">
        <f>1</f>
        <v>1</v>
      </c>
      <c r="C5" s="89" t="s">
        <v>29</v>
      </c>
      <c r="D5" s="89" t="s">
        <v>33</v>
      </c>
      <c r="E5" s="89" t="s">
        <v>88</v>
      </c>
      <c r="F5" s="10">
        <v>43845</v>
      </c>
      <c r="G5" s="89" t="s">
        <v>89</v>
      </c>
      <c r="H5" s="22" t="s">
        <v>16</v>
      </c>
      <c r="I5" s="90">
        <v>530.66999999999996</v>
      </c>
      <c r="J5" s="90">
        <v>245.31</v>
      </c>
      <c r="K5" s="91">
        <f t="shared" ref="K5:K10" si="0">(I5-J5)/I5</f>
        <v>0.53773531573294131</v>
      </c>
      <c r="L5" s="90">
        <v>68.56</v>
      </c>
      <c r="M5" s="91">
        <f t="shared" ref="M5:M10" si="1">L5/I5</f>
        <v>0.12919516837205797</v>
      </c>
      <c r="N5" s="11">
        <v>38.840000000000003</v>
      </c>
      <c r="O5" s="92">
        <v>0</v>
      </c>
      <c r="P5" s="92"/>
      <c r="Q5" s="11"/>
      <c r="R5" s="13"/>
      <c r="S5" s="13"/>
      <c r="T5" s="13"/>
      <c r="U5" s="13"/>
    </row>
    <row r="6" spans="2:21" s="2" customFormat="1" ht="15.75" x14ac:dyDescent="0.25">
      <c r="B6" s="22">
        <f>B5+1</f>
        <v>2</v>
      </c>
      <c r="C6" s="89" t="s">
        <v>29</v>
      </c>
      <c r="D6" s="89" t="s">
        <v>33</v>
      </c>
      <c r="E6" s="89" t="s">
        <v>391</v>
      </c>
      <c r="F6" s="10">
        <v>43833</v>
      </c>
      <c r="G6" s="89" t="s">
        <v>90</v>
      </c>
      <c r="H6" s="22" t="s">
        <v>16</v>
      </c>
      <c r="I6" s="90">
        <v>13903.13</v>
      </c>
      <c r="J6" s="90">
        <v>7005.12</v>
      </c>
      <c r="K6" s="91">
        <f t="shared" si="0"/>
        <v>0.49614798969728396</v>
      </c>
      <c r="L6" s="90">
        <v>1554.42</v>
      </c>
      <c r="M6" s="91">
        <f t="shared" si="1"/>
        <v>0.11180360105961752</v>
      </c>
      <c r="N6" s="11">
        <v>454.03</v>
      </c>
      <c r="O6" s="92">
        <v>0</v>
      </c>
      <c r="P6" s="92"/>
      <c r="Q6" s="12"/>
      <c r="R6" s="13"/>
      <c r="S6" s="13"/>
      <c r="T6" s="13"/>
      <c r="U6" s="13"/>
    </row>
    <row r="7" spans="2:21" s="2" customFormat="1" ht="15.75" x14ac:dyDescent="0.25">
      <c r="B7" s="22">
        <f t="shared" ref="B7:B70" si="2">B6+1</f>
        <v>3</v>
      </c>
      <c r="C7" s="89" t="s">
        <v>29</v>
      </c>
      <c r="D7" s="89" t="s">
        <v>26</v>
      </c>
      <c r="E7" s="89" t="s">
        <v>91</v>
      </c>
      <c r="F7" s="10">
        <v>43847</v>
      </c>
      <c r="G7" s="89" t="s">
        <v>92</v>
      </c>
      <c r="H7" s="22" t="s">
        <v>21</v>
      </c>
      <c r="I7" s="90">
        <v>12458.86</v>
      </c>
      <c r="J7" s="90">
        <v>4794.37</v>
      </c>
      <c r="K7" s="91">
        <f t="shared" si="0"/>
        <v>0.61518389322939659</v>
      </c>
      <c r="L7" s="90">
        <f>1318.65+O7</f>
        <v>1418.65</v>
      </c>
      <c r="M7" s="91">
        <f t="shared" si="1"/>
        <v>0.11386675827483414</v>
      </c>
      <c r="N7" s="11">
        <v>456.66</v>
      </c>
      <c r="O7" s="92">
        <v>100</v>
      </c>
      <c r="P7" s="92"/>
      <c r="Q7" s="12"/>
      <c r="R7" s="13"/>
      <c r="S7" s="13"/>
      <c r="T7" s="13"/>
      <c r="U7" s="13"/>
    </row>
    <row r="8" spans="2:21" s="2" customFormat="1" ht="15.75" x14ac:dyDescent="0.25">
      <c r="B8" s="22">
        <f t="shared" si="2"/>
        <v>4</v>
      </c>
      <c r="C8" s="89" t="s">
        <v>29</v>
      </c>
      <c r="D8" s="89" t="s">
        <v>31</v>
      </c>
      <c r="E8" s="89" t="s">
        <v>392</v>
      </c>
      <c r="F8" s="10">
        <v>43839</v>
      </c>
      <c r="G8" s="89" t="s">
        <v>93</v>
      </c>
      <c r="H8" s="22" t="s">
        <v>16</v>
      </c>
      <c r="I8" s="90">
        <v>7002.55</v>
      </c>
      <c r="J8" s="90">
        <v>3477.72</v>
      </c>
      <c r="K8" s="91">
        <f t="shared" si="0"/>
        <v>0.50336377462495807</v>
      </c>
      <c r="L8" s="90">
        <v>696.09</v>
      </c>
      <c r="M8" s="91">
        <f t="shared" si="1"/>
        <v>9.9405216671069829E-2</v>
      </c>
      <c r="N8" s="11">
        <v>33.35</v>
      </c>
      <c r="O8" s="92">
        <v>0</v>
      </c>
      <c r="P8" s="92"/>
      <c r="Q8" s="12"/>
      <c r="R8" s="13"/>
      <c r="S8" s="13"/>
      <c r="T8" s="13"/>
      <c r="U8" s="13"/>
    </row>
    <row r="9" spans="2:21" s="2" customFormat="1" ht="15.75" x14ac:dyDescent="0.25">
      <c r="B9" s="22">
        <f t="shared" si="2"/>
        <v>5</v>
      </c>
      <c r="C9" s="89" t="s">
        <v>29</v>
      </c>
      <c r="D9" s="89" t="s">
        <v>52</v>
      </c>
      <c r="E9" s="89" t="s">
        <v>391</v>
      </c>
      <c r="F9" s="10">
        <v>43841</v>
      </c>
      <c r="G9" s="89" t="s">
        <v>94</v>
      </c>
      <c r="H9" s="22" t="s">
        <v>16</v>
      </c>
      <c r="I9" s="90">
        <v>6585.4</v>
      </c>
      <c r="J9" s="90">
        <v>3142.43</v>
      </c>
      <c r="K9" s="91">
        <f t="shared" si="0"/>
        <v>0.52281865945880279</v>
      </c>
      <c r="L9" s="90">
        <v>913.96</v>
      </c>
      <c r="M9" s="91">
        <f t="shared" si="1"/>
        <v>0.13878579888845022</v>
      </c>
      <c r="N9" s="11">
        <v>682.3</v>
      </c>
      <c r="O9" s="92">
        <v>0</v>
      </c>
      <c r="P9" s="92"/>
      <c r="Q9" s="12"/>
      <c r="R9" s="13"/>
      <c r="S9" s="13"/>
      <c r="T9" s="13"/>
      <c r="U9" s="13"/>
    </row>
    <row r="10" spans="2:21" s="2" customFormat="1" ht="15.75" x14ac:dyDescent="0.25">
      <c r="B10" s="22">
        <f t="shared" si="2"/>
        <v>6</v>
      </c>
      <c r="C10" s="89" t="s">
        <v>29</v>
      </c>
      <c r="D10" s="89" t="s">
        <v>31</v>
      </c>
      <c r="E10" s="89" t="s">
        <v>396</v>
      </c>
      <c r="F10" s="10">
        <v>43846</v>
      </c>
      <c r="G10" s="89" t="s">
        <v>96</v>
      </c>
      <c r="H10" s="22" t="s">
        <v>13</v>
      </c>
      <c r="I10" s="90">
        <v>5854</v>
      </c>
      <c r="J10" s="90">
        <v>2414.98</v>
      </c>
      <c r="K10" s="91">
        <f t="shared" si="0"/>
        <v>0.58746498120942947</v>
      </c>
      <c r="L10" s="90">
        <v>783.46</v>
      </c>
      <c r="M10" s="91">
        <f t="shared" si="1"/>
        <v>0.13383327639221046</v>
      </c>
      <c r="N10" s="11">
        <v>556.4</v>
      </c>
      <c r="O10" s="92">
        <v>0</v>
      </c>
      <c r="P10" s="92"/>
      <c r="Q10" s="12"/>
      <c r="R10" s="13"/>
      <c r="S10" s="13"/>
      <c r="T10" s="13"/>
      <c r="U10" s="13"/>
    </row>
    <row r="11" spans="2:21" s="2" customFormat="1" ht="15.75" x14ac:dyDescent="0.25">
      <c r="B11" s="22">
        <f t="shared" si="2"/>
        <v>7</v>
      </c>
      <c r="C11" s="89" t="s">
        <v>41</v>
      </c>
      <c r="D11" s="89" t="s">
        <v>31</v>
      </c>
      <c r="E11" s="89" t="s">
        <v>91</v>
      </c>
      <c r="F11" s="10">
        <v>43850</v>
      </c>
      <c r="G11" s="89" t="s">
        <v>97</v>
      </c>
      <c r="H11" s="22" t="s">
        <v>14</v>
      </c>
      <c r="I11" s="90">
        <v>5966.34</v>
      </c>
      <c r="J11" s="90">
        <v>3432.04</v>
      </c>
      <c r="K11" s="91">
        <f>(I11-J11)/I11</f>
        <v>0.42476627211992612</v>
      </c>
      <c r="L11" s="90">
        <v>366.17</v>
      </c>
      <c r="M11" s="91">
        <f>L11/I11</f>
        <v>6.1372633809001834E-2</v>
      </c>
      <c r="N11" s="11">
        <v>-1299.6600000000001</v>
      </c>
      <c r="O11" s="92">
        <v>400</v>
      </c>
      <c r="P11" s="92"/>
      <c r="Q11" s="12"/>
      <c r="R11" s="13"/>
      <c r="S11" s="13"/>
      <c r="T11" s="13"/>
      <c r="U11" s="13"/>
    </row>
    <row r="12" spans="2:21" s="2" customFormat="1" ht="15.75" x14ac:dyDescent="0.25">
      <c r="B12" s="22">
        <f t="shared" si="2"/>
        <v>8</v>
      </c>
      <c r="C12" s="89" t="s">
        <v>29</v>
      </c>
      <c r="D12" s="89" t="s">
        <v>98</v>
      </c>
      <c r="E12" s="89" t="s">
        <v>91</v>
      </c>
      <c r="F12" s="10">
        <v>43869</v>
      </c>
      <c r="G12" s="89" t="s">
        <v>99</v>
      </c>
      <c r="H12" s="22" t="s">
        <v>30</v>
      </c>
      <c r="I12" s="90">
        <v>5271.84</v>
      </c>
      <c r="J12" s="90">
        <v>2663.35</v>
      </c>
      <c r="K12" s="91">
        <f t="shared" ref="K12:K25" si="3">(I12-J12)/I12</f>
        <v>0.49479688306170144</v>
      </c>
      <c r="L12" s="90">
        <v>569.52</v>
      </c>
      <c r="M12" s="91">
        <f t="shared" ref="M12:M25" si="4">L12/I12</f>
        <v>0.10803059273422562</v>
      </c>
      <c r="N12" s="11">
        <v>210.84</v>
      </c>
      <c r="O12" s="92">
        <v>0</v>
      </c>
      <c r="P12" s="92"/>
      <c r="Q12" s="12"/>
      <c r="R12" s="13"/>
      <c r="S12" s="13"/>
      <c r="T12" s="13"/>
      <c r="U12" s="13"/>
    </row>
    <row r="13" spans="2:21" s="2" customFormat="1" ht="15.75" x14ac:dyDescent="0.25">
      <c r="B13" s="22">
        <f t="shared" si="2"/>
        <v>9</v>
      </c>
      <c r="C13" s="89" t="s">
        <v>29</v>
      </c>
      <c r="D13" s="89" t="s">
        <v>39</v>
      </c>
      <c r="E13" s="89" t="s">
        <v>391</v>
      </c>
      <c r="F13" s="10">
        <v>43852</v>
      </c>
      <c r="G13" s="89" t="s">
        <v>100</v>
      </c>
      <c r="H13" s="22" t="s">
        <v>390</v>
      </c>
      <c r="I13" s="90">
        <v>18076.48</v>
      </c>
      <c r="J13" s="90">
        <v>9569.9599999999991</v>
      </c>
      <c r="K13" s="91">
        <f t="shared" si="3"/>
        <v>0.470584981146772</v>
      </c>
      <c r="L13" s="90">
        <v>1447.16</v>
      </c>
      <c r="M13" s="91">
        <f t="shared" si="4"/>
        <v>8.0057621837879941E-2</v>
      </c>
      <c r="N13" s="11">
        <v>-726.22</v>
      </c>
      <c r="O13" s="92">
        <v>0</v>
      </c>
      <c r="P13" s="92"/>
      <c r="Q13" s="12"/>
      <c r="R13" s="13"/>
      <c r="S13" s="13"/>
      <c r="T13" s="13"/>
      <c r="U13" s="13"/>
    </row>
    <row r="14" spans="2:21" s="2" customFormat="1" ht="15.75" x14ac:dyDescent="0.25">
      <c r="B14" s="22">
        <f t="shared" si="2"/>
        <v>10</v>
      </c>
      <c r="C14" s="89" t="s">
        <v>29</v>
      </c>
      <c r="D14" s="89" t="s">
        <v>31</v>
      </c>
      <c r="E14" s="89" t="s">
        <v>91</v>
      </c>
      <c r="F14" s="10">
        <v>43858</v>
      </c>
      <c r="G14" s="89" t="s">
        <v>101</v>
      </c>
      <c r="H14" s="22" t="s">
        <v>19</v>
      </c>
      <c r="I14" s="90">
        <v>5261.37</v>
      </c>
      <c r="J14" s="90">
        <v>2882.93</v>
      </c>
      <c r="K14" s="91">
        <f t="shared" si="3"/>
        <v>0.45205716381854916</v>
      </c>
      <c r="L14" s="90">
        <v>339.72</v>
      </c>
      <c r="M14" s="91">
        <f t="shared" si="4"/>
        <v>6.4568733998939448E-2</v>
      </c>
      <c r="N14" s="11">
        <v>-361.03</v>
      </c>
      <c r="O14" s="92">
        <v>0</v>
      </c>
      <c r="P14" s="92"/>
      <c r="Q14" s="12"/>
      <c r="R14" s="13"/>
      <c r="S14" s="13"/>
      <c r="T14" s="13"/>
      <c r="U14" s="13"/>
    </row>
    <row r="15" spans="2:21" s="2" customFormat="1" ht="15.75" x14ac:dyDescent="0.25">
      <c r="B15" s="22">
        <f t="shared" si="2"/>
        <v>11</v>
      </c>
      <c r="C15" s="89" t="s">
        <v>29</v>
      </c>
      <c r="D15" s="89" t="s">
        <v>31</v>
      </c>
      <c r="E15" s="89" t="s">
        <v>392</v>
      </c>
      <c r="F15" s="10">
        <v>43845</v>
      </c>
      <c r="G15" s="89" t="s">
        <v>102</v>
      </c>
      <c r="H15" s="22" t="s">
        <v>16</v>
      </c>
      <c r="I15" s="90">
        <v>12286.44</v>
      </c>
      <c r="J15" s="90">
        <v>5540.4</v>
      </c>
      <c r="K15" s="91">
        <f t="shared" si="3"/>
        <v>0.54906384599607372</v>
      </c>
      <c r="L15" s="90">
        <v>2021.23</v>
      </c>
      <c r="M15" s="91">
        <f t="shared" si="4"/>
        <v>0.16450900342165833</v>
      </c>
      <c r="N15" s="11">
        <v>2051.46</v>
      </c>
      <c r="O15" s="92">
        <v>0</v>
      </c>
      <c r="P15" s="92"/>
      <c r="Q15" s="12"/>
      <c r="R15" s="13"/>
      <c r="S15" s="13"/>
      <c r="T15" s="13"/>
      <c r="U15" s="13"/>
    </row>
    <row r="16" spans="2:21" s="2" customFormat="1" ht="15.75" x14ac:dyDescent="0.25">
      <c r="B16" s="22">
        <f t="shared" si="2"/>
        <v>12</v>
      </c>
      <c r="C16" s="89" t="s">
        <v>41</v>
      </c>
      <c r="D16" s="89" t="s">
        <v>98</v>
      </c>
      <c r="E16" s="89" t="s">
        <v>91</v>
      </c>
      <c r="F16" s="10">
        <v>43841</v>
      </c>
      <c r="G16" s="89" t="s">
        <v>103</v>
      </c>
      <c r="H16" s="22" t="s">
        <v>59</v>
      </c>
      <c r="I16" s="90">
        <v>16325.01</v>
      </c>
      <c r="J16" s="90">
        <v>6474.51</v>
      </c>
      <c r="K16" s="91">
        <f t="shared" si="3"/>
        <v>0.60339932410454877</v>
      </c>
      <c r="L16" s="90">
        <f>1372.93+O16</f>
        <v>1772.93</v>
      </c>
      <c r="M16" s="91">
        <f t="shared" si="4"/>
        <v>0.10860207742598627</v>
      </c>
      <c r="N16" s="11">
        <v>-535.19000000000005</v>
      </c>
      <c r="O16" s="92">
        <v>400</v>
      </c>
      <c r="P16" s="92"/>
      <c r="Q16" s="12"/>
      <c r="R16" s="13"/>
      <c r="S16" s="13"/>
      <c r="T16" s="13"/>
      <c r="U16" s="13"/>
    </row>
    <row r="17" spans="1:21" s="2" customFormat="1" ht="15.75" x14ac:dyDescent="0.25">
      <c r="B17" s="22">
        <f t="shared" si="2"/>
        <v>13</v>
      </c>
      <c r="C17" s="89" t="s">
        <v>104</v>
      </c>
      <c r="D17" s="89" t="s">
        <v>33</v>
      </c>
      <c r="E17" s="89" t="s">
        <v>392</v>
      </c>
      <c r="F17" s="10">
        <v>43840</v>
      </c>
      <c r="G17" s="89" t="s">
        <v>105</v>
      </c>
      <c r="H17" s="22" t="s">
        <v>16</v>
      </c>
      <c r="I17" s="90">
        <v>7250</v>
      </c>
      <c r="J17" s="90">
        <v>3401.72</v>
      </c>
      <c r="K17" s="91">
        <f t="shared" si="3"/>
        <v>0.53079724137931039</v>
      </c>
      <c r="L17" s="90">
        <v>718.58</v>
      </c>
      <c r="M17" s="91">
        <f t="shared" si="4"/>
        <v>9.9114482758620698E-2</v>
      </c>
      <c r="N17" s="11">
        <v>165.13</v>
      </c>
      <c r="O17" s="92">
        <v>0</v>
      </c>
      <c r="P17" s="92"/>
      <c r="Q17" s="12"/>
      <c r="R17" s="13"/>
      <c r="S17" s="13"/>
      <c r="T17" s="13"/>
      <c r="U17" s="13"/>
    </row>
    <row r="18" spans="1:21" s="2" customFormat="1" ht="15.75" x14ac:dyDescent="0.25">
      <c r="B18" s="22">
        <f t="shared" si="2"/>
        <v>14</v>
      </c>
      <c r="C18" s="89" t="s">
        <v>106</v>
      </c>
      <c r="D18" s="89" t="s">
        <v>31</v>
      </c>
      <c r="E18" s="89" t="s">
        <v>91</v>
      </c>
      <c r="F18" s="10">
        <v>43860</v>
      </c>
      <c r="G18" s="89" t="s">
        <v>107</v>
      </c>
      <c r="H18" s="22" t="s">
        <v>19</v>
      </c>
      <c r="I18" s="90">
        <v>16267.77</v>
      </c>
      <c r="J18" s="90">
        <v>9021.69</v>
      </c>
      <c r="K18" s="91">
        <f t="shared" si="3"/>
        <v>0.44542552544079489</v>
      </c>
      <c r="L18" s="90">
        <v>1412.84</v>
      </c>
      <c r="M18" s="91">
        <f t="shared" si="4"/>
        <v>8.6849027248356719E-2</v>
      </c>
      <c r="N18" s="11">
        <v>127.17</v>
      </c>
      <c r="O18" s="92">
        <v>0</v>
      </c>
      <c r="P18" s="92"/>
      <c r="Q18" s="12"/>
      <c r="R18" s="13"/>
      <c r="S18" s="13"/>
      <c r="T18" s="13"/>
      <c r="U18" s="13"/>
    </row>
    <row r="19" spans="1:21" s="2" customFormat="1" ht="15.75" x14ac:dyDescent="0.25">
      <c r="B19" s="22">
        <f t="shared" si="2"/>
        <v>15</v>
      </c>
      <c r="C19" s="89" t="s">
        <v>29</v>
      </c>
      <c r="D19" s="89" t="s">
        <v>26</v>
      </c>
      <c r="E19" s="89" t="s">
        <v>108</v>
      </c>
      <c r="F19" s="10">
        <v>43847</v>
      </c>
      <c r="G19" s="89" t="s">
        <v>109</v>
      </c>
      <c r="H19" s="22" t="s">
        <v>57</v>
      </c>
      <c r="I19" s="90">
        <v>46257.24</v>
      </c>
      <c r="J19" s="90">
        <v>18415.64</v>
      </c>
      <c r="K19" s="91">
        <f t="shared" si="3"/>
        <v>0.60188632093051808</v>
      </c>
      <c r="L19" s="90">
        <f>5045.45+O19</f>
        <v>5245.45</v>
      </c>
      <c r="M19" s="91">
        <f t="shared" si="4"/>
        <v>0.11339738384737179</v>
      </c>
      <c r="N19" s="11">
        <v>3667.84</v>
      </c>
      <c r="O19" s="92">
        <v>200</v>
      </c>
      <c r="P19" s="92"/>
      <c r="Q19" s="12"/>
      <c r="R19" s="13"/>
      <c r="S19" s="13"/>
      <c r="T19" s="13"/>
      <c r="U19" s="13"/>
    </row>
    <row r="20" spans="1:21" s="2" customFormat="1" ht="15.75" x14ac:dyDescent="0.25">
      <c r="B20" s="22">
        <f t="shared" si="2"/>
        <v>16</v>
      </c>
      <c r="C20" s="89" t="s">
        <v>29</v>
      </c>
      <c r="D20" s="89" t="s">
        <v>33</v>
      </c>
      <c r="E20" s="89" t="s">
        <v>392</v>
      </c>
      <c r="F20" s="10">
        <v>43854</v>
      </c>
      <c r="G20" s="89" t="s">
        <v>110</v>
      </c>
      <c r="H20" s="22" t="s">
        <v>16</v>
      </c>
      <c r="I20" s="90">
        <v>7780.26</v>
      </c>
      <c r="J20" s="90">
        <v>3747.28</v>
      </c>
      <c r="K20" s="91">
        <f t="shared" si="3"/>
        <v>0.51836056892700244</v>
      </c>
      <c r="L20" s="90">
        <v>861.93</v>
      </c>
      <c r="M20" s="91">
        <f t="shared" si="4"/>
        <v>0.11078421543753035</v>
      </c>
      <c r="N20" s="11">
        <v>279.76</v>
      </c>
      <c r="O20" s="92">
        <v>0</v>
      </c>
      <c r="P20" s="92"/>
      <c r="Q20" s="12"/>
      <c r="R20" s="13"/>
      <c r="S20" s="13"/>
      <c r="T20" s="13"/>
      <c r="U20" s="13"/>
    </row>
    <row r="21" spans="1:21" s="2" customFormat="1" ht="15.75" x14ac:dyDescent="0.25">
      <c r="B21" s="22">
        <f t="shared" si="2"/>
        <v>17</v>
      </c>
      <c r="C21" s="89" t="s">
        <v>111</v>
      </c>
      <c r="D21" s="89" t="s">
        <v>33</v>
      </c>
      <c r="E21" s="89" t="s">
        <v>391</v>
      </c>
      <c r="F21" s="10">
        <v>43843</v>
      </c>
      <c r="G21" s="89" t="s">
        <v>112</v>
      </c>
      <c r="H21" s="22" t="s">
        <v>390</v>
      </c>
      <c r="I21" s="90">
        <v>19616.919999999998</v>
      </c>
      <c r="J21" s="90">
        <v>9889.7999999999993</v>
      </c>
      <c r="K21" s="91">
        <f>(I21-J21)/I21</f>
        <v>0.4958535794609959</v>
      </c>
      <c r="L21" s="90">
        <v>1959.18</v>
      </c>
      <c r="M21" s="91">
        <f>L21/I21</f>
        <v>9.9871947278166007E-2</v>
      </c>
      <c r="N21" s="11">
        <v>195.07</v>
      </c>
      <c r="O21" s="92">
        <v>0</v>
      </c>
      <c r="P21" s="92"/>
      <c r="Q21" s="12"/>
      <c r="R21" s="13"/>
      <c r="S21" s="13"/>
      <c r="T21" s="13"/>
      <c r="U21" s="13"/>
    </row>
    <row r="22" spans="1:21" s="2" customFormat="1" ht="15.75" x14ac:dyDescent="0.25">
      <c r="B22" s="22">
        <f t="shared" si="2"/>
        <v>18</v>
      </c>
      <c r="C22" s="89" t="s">
        <v>41</v>
      </c>
      <c r="D22" s="89" t="s">
        <v>31</v>
      </c>
      <c r="E22" s="89" t="s">
        <v>108</v>
      </c>
      <c r="F22" s="10">
        <v>43882</v>
      </c>
      <c r="G22" s="89" t="s">
        <v>113</v>
      </c>
      <c r="H22" s="22" t="s">
        <v>19</v>
      </c>
      <c r="I22" s="90">
        <v>12776.78</v>
      </c>
      <c r="J22" s="90">
        <v>6122.06</v>
      </c>
      <c r="K22" s="91">
        <f>(I22-J22)/I22</f>
        <v>0.5208448451018175</v>
      </c>
      <c r="L22" s="90">
        <v>1293.51</v>
      </c>
      <c r="M22" s="91">
        <f>L22/I22</f>
        <v>0.10123912284628835</v>
      </c>
      <c r="N22" s="11">
        <v>144.58000000000001</v>
      </c>
      <c r="O22" s="92">
        <v>0</v>
      </c>
      <c r="P22" s="92"/>
      <c r="Q22" s="12"/>
      <c r="R22" s="13"/>
      <c r="S22" s="13"/>
      <c r="T22" s="13"/>
      <c r="U22" s="13"/>
    </row>
    <row r="23" spans="1:21" s="2" customFormat="1" ht="15.75" x14ac:dyDescent="0.25">
      <c r="B23" s="22">
        <f t="shared" si="2"/>
        <v>19</v>
      </c>
      <c r="C23" s="89" t="s">
        <v>29</v>
      </c>
      <c r="D23" s="89" t="s">
        <v>26</v>
      </c>
      <c r="E23" s="89" t="s">
        <v>108</v>
      </c>
      <c r="F23" s="10">
        <v>43840</v>
      </c>
      <c r="G23" s="89" t="s">
        <v>114</v>
      </c>
      <c r="H23" s="22" t="s">
        <v>19</v>
      </c>
      <c r="I23" s="90">
        <v>7137.89</v>
      </c>
      <c r="J23" s="90">
        <v>3492.13</v>
      </c>
      <c r="K23" s="91">
        <f>(I23-J23)/I23</f>
        <v>0.51076158360523904</v>
      </c>
      <c r="L23" s="90">
        <v>715.19</v>
      </c>
      <c r="M23" s="91">
        <f>L23/I23</f>
        <v>0.10019627649067162</v>
      </c>
      <c r="N23" s="11">
        <v>311.49</v>
      </c>
      <c r="O23" s="92">
        <v>0</v>
      </c>
      <c r="P23" s="92"/>
      <c r="Q23" s="12"/>
      <c r="R23" s="13"/>
      <c r="S23" s="13"/>
      <c r="T23" s="13"/>
      <c r="U23" s="13"/>
    </row>
    <row r="24" spans="1:21" s="2" customFormat="1" ht="15.75" x14ac:dyDescent="0.25">
      <c r="B24" s="22">
        <f t="shared" si="2"/>
        <v>20</v>
      </c>
      <c r="C24" s="89" t="s">
        <v>29</v>
      </c>
      <c r="D24" s="89" t="s">
        <v>39</v>
      </c>
      <c r="E24" s="89" t="s">
        <v>391</v>
      </c>
      <c r="F24" s="10">
        <v>43851</v>
      </c>
      <c r="G24" s="89" t="s">
        <v>115</v>
      </c>
      <c r="H24" s="22" t="s">
        <v>18</v>
      </c>
      <c r="I24" s="90">
        <v>35587.49</v>
      </c>
      <c r="J24" s="90">
        <v>18952.61</v>
      </c>
      <c r="K24" s="91">
        <f t="shared" si="3"/>
        <v>0.46743616928308229</v>
      </c>
      <c r="L24" s="90">
        <v>3927.63</v>
      </c>
      <c r="M24" s="91">
        <f t="shared" si="4"/>
        <v>0.11036546831484885</v>
      </c>
      <c r="N24" s="11">
        <v>2218.02</v>
      </c>
      <c r="O24" s="92">
        <v>0</v>
      </c>
      <c r="P24" s="92"/>
      <c r="Q24" s="12"/>
      <c r="R24" s="13"/>
      <c r="S24" s="13"/>
      <c r="T24" s="13"/>
      <c r="U24" s="13"/>
    </row>
    <row r="25" spans="1:21" s="2" customFormat="1" ht="15.75" x14ac:dyDescent="0.25">
      <c r="B25" s="22">
        <f t="shared" si="2"/>
        <v>21</v>
      </c>
      <c r="C25" s="89" t="s">
        <v>29</v>
      </c>
      <c r="D25" s="89" t="s">
        <v>33</v>
      </c>
      <c r="E25" s="89" t="s">
        <v>91</v>
      </c>
      <c r="F25" s="10">
        <v>43894</v>
      </c>
      <c r="G25" s="89" t="s">
        <v>116</v>
      </c>
      <c r="H25" s="22" t="s">
        <v>19</v>
      </c>
      <c r="I25" s="90">
        <v>12806.81</v>
      </c>
      <c r="J25" s="90">
        <v>5806.55</v>
      </c>
      <c r="K25" s="91">
        <f t="shared" si="3"/>
        <v>0.54660450182363907</v>
      </c>
      <c r="L25" s="90">
        <v>1449.09</v>
      </c>
      <c r="M25" s="91">
        <f t="shared" si="4"/>
        <v>0.11314995693697337</v>
      </c>
      <c r="N25" s="11">
        <v>526.01</v>
      </c>
      <c r="O25" s="92">
        <v>0</v>
      </c>
      <c r="P25" s="92"/>
      <c r="Q25" s="12"/>
      <c r="R25" s="13"/>
      <c r="S25" s="13"/>
      <c r="T25" s="13"/>
      <c r="U25" s="13"/>
    </row>
    <row r="26" spans="1:21" s="2" customFormat="1" ht="15.75" x14ac:dyDescent="0.25">
      <c r="B26" s="22">
        <f t="shared" si="2"/>
        <v>22</v>
      </c>
      <c r="C26" s="89" t="s">
        <v>29</v>
      </c>
      <c r="D26" s="89" t="s">
        <v>98</v>
      </c>
      <c r="E26" s="89" t="s">
        <v>396</v>
      </c>
      <c r="F26" s="10">
        <v>43893</v>
      </c>
      <c r="G26" s="89" t="s">
        <v>117</v>
      </c>
      <c r="H26" s="22" t="s">
        <v>20</v>
      </c>
      <c r="I26" s="90">
        <v>30508.46</v>
      </c>
      <c r="J26" s="90">
        <v>15559.04</v>
      </c>
      <c r="K26" s="91">
        <f>(I26-J26)/I26</f>
        <v>0.4900090007820781</v>
      </c>
      <c r="L26" s="90">
        <v>2877.25</v>
      </c>
      <c r="M26" s="91">
        <f>L26/I26</f>
        <v>9.4309906170288504E-2</v>
      </c>
      <c r="N26" s="11">
        <v>-285.24</v>
      </c>
      <c r="O26" s="92">
        <v>0</v>
      </c>
      <c r="P26" s="92"/>
      <c r="Q26" s="12"/>
      <c r="R26" s="13"/>
      <c r="S26" s="13"/>
      <c r="T26" s="13"/>
      <c r="U26" s="13"/>
    </row>
    <row r="27" spans="1:21" s="2" customFormat="1" ht="15.75" x14ac:dyDescent="0.25">
      <c r="B27" s="22">
        <f t="shared" si="2"/>
        <v>23</v>
      </c>
      <c r="C27" s="89" t="s">
        <v>29</v>
      </c>
      <c r="D27" s="89" t="s">
        <v>33</v>
      </c>
      <c r="E27" s="89" t="s">
        <v>392</v>
      </c>
      <c r="F27" s="10">
        <v>43873</v>
      </c>
      <c r="G27" s="89" t="s">
        <v>118</v>
      </c>
      <c r="H27" s="22" t="s">
        <v>390</v>
      </c>
      <c r="I27" s="90">
        <v>16582.990000000002</v>
      </c>
      <c r="J27" s="90">
        <v>7144.17</v>
      </c>
      <c r="K27" s="91">
        <f>(I27-J27)/I27</f>
        <v>0.56918685954704196</v>
      </c>
      <c r="L27" s="90">
        <v>2113.86</v>
      </c>
      <c r="M27" s="91">
        <f>L27/I27</f>
        <v>0.12747158383379595</v>
      </c>
      <c r="N27" s="11">
        <v>1299.8900000000001</v>
      </c>
      <c r="O27" s="92">
        <v>0</v>
      </c>
      <c r="P27" s="92"/>
      <c r="Q27" s="12"/>
      <c r="R27" s="13"/>
      <c r="S27" s="13"/>
      <c r="T27" s="13"/>
      <c r="U27" s="13"/>
    </row>
    <row r="28" spans="1:21" s="2" customFormat="1" ht="15.75" x14ac:dyDescent="0.25">
      <c r="B28" s="22">
        <f t="shared" si="2"/>
        <v>24</v>
      </c>
      <c r="C28" s="89" t="s">
        <v>29</v>
      </c>
      <c r="D28" s="89" t="s">
        <v>52</v>
      </c>
      <c r="E28" s="89" t="s">
        <v>391</v>
      </c>
      <c r="F28" s="10">
        <v>43845</v>
      </c>
      <c r="G28" s="89" t="s">
        <v>119</v>
      </c>
      <c r="H28" s="22" t="s">
        <v>390</v>
      </c>
      <c r="I28" s="90">
        <v>36449.589999999997</v>
      </c>
      <c r="J28" s="90">
        <v>16848.259999999998</v>
      </c>
      <c r="K28" s="91">
        <f>(I28-J28)/I28</f>
        <v>0.5377654453726366</v>
      </c>
      <c r="L28" s="90">
        <f>3136.5+O28</f>
        <v>3336.5</v>
      </c>
      <c r="M28" s="91">
        <f>L28/I28</f>
        <v>9.1537380804557755E-2</v>
      </c>
      <c r="N28" s="11">
        <v>-590.91</v>
      </c>
      <c r="O28" s="92">
        <v>200</v>
      </c>
      <c r="P28" s="92"/>
      <c r="Q28" s="12"/>
      <c r="R28" s="13"/>
      <c r="S28" s="13"/>
      <c r="T28" s="13"/>
      <c r="U28" s="13"/>
    </row>
    <row r="29" spans="1:21" s="2" customFormat="1" ht="15.75" x14ac:dyDescent="0.25">
      <c r="B29" s="22">
        <f t="shared" si="2"/>
        <v>25</v>
      </c>
      <c r="C29" s="89" t="s">
        <v>29</v>
      </c>
      <c r="D29" s="89" t="s">
        <v>26</v>
      </c>
      <c r="E29" s="89" t="s">
        <v>108</v>
      </c>
      <c r="F29" s="10">
        <v>43896</v>
      </c>
      <c r="G29" s="89" t="s">
        <v>120</v>
      </c>
      <c r="H29" s="22" t="s">
        <v>30</v>
      </c>
      <c r="I29" s="90">
        <v>4634.99</v>
      </c>
      <c r="J29" s="90">
        <v>2217.52</v>
      </c>
      <c r="K29" s="91">
        <f t="shared" ref="K29:K90" si="5">(I29-J29)/I29</f>
        <v>0.52156962582443545</v>
      </c>
      <c r="L29" s="90">
        <v>467.82</v>
      </c>
      <c r="M29" s="91">
        <f t="shared" ref="M29:M90" si="6">L29/I29</f>
        <v>0.10093225659602287</v>
      </c>
      <c r="N29" s="11">
        <v>115.79</v>
      </c>
      <c r="O29" s="92">
        <v>0</v>
      </c>
      <c r="P29" s="92"/>
      <c r="Q29" s="12"/>
      <c r="R29" s="13"/>
      <c r="S29" s="13"/>
      <c r="T29" s="13"/>
      <c r="U29" s="13"/>
    </row>
    <row r="30" spans="1:21" s="2" customFormat="1" ht="15.75" x14ac:dyDescent="0.25">
      <c r="B30" s="22">
        <f t="shared" si="2"/>
        <v>26</v>
      </c>
      <c r="C30" s="89" t="s">
        <v>29</v>
      </c>
      <c r="D30" s="89" t="s">
        <v>39</v>
      </c>
      <c r="E30" s="89" t="s">
        <v>391</v>
      </c>
      <c r="F30" s="10">
        <v>43840</v>
      </c>
      <c r="G30" s="89" t="s">
        <v>121</v>
      </c>
      <c r="H30" s="22" t="s">
        <v>18</v>
      </c>
      <c r="I30" s="90">
        <v>41274.620000000003</v>
      </c>
      <c r="J30" s="90">
        <v>19279.75</v>
      </c>
      <c r="K30" s="91">
        <f t="shared" si="5"/>
        <v>0.53289091456202387</v>
      </c>
      <c r="L30" s="90">
        <v>4905.2299999999996</v>
      </c>
      <c r="M30" s="91">
        <f t="shared" si="6"/>
        <v>0.11884373496351994</v>
      </c>
      <c r="N30" s="11">
        <v>2014.42</v>
      </c>
      <c r="O30" s="92">
        <v>0</v>
      </c>
      <c r="P30" s="92"/>
      <c r="Q30" s="12"/>
      <c r="R30" s="13"/>
      <c r="S30" s="13"/>
      <c r="T30" s="13"/>
      <c r="U30" s="13"/>
    </row>
    <row r="31" spans="1:21" s="2" customFormat="1" ht="15.75" x14ac:dyDescent="0.25">
      <c r="B31" s="22">
        <f t="shared" si="2"/>
        <v>27</v>
      </c>
      <c r="C31" s="89" t="s">
        <v>104</v>
      </c>
      <c r="D31" s="89" t="s">
        <v>33</v>
      </c>
      <c r="E31" s="89" t="s">
        <v>108</v>
      </c>
      <c r="F31" s="10">
        <v>43883</v>
      </c>
      <c r="G31" s="89" t="s">
        <v>122</v>
      </c>
      <c r="H31" s="22" t="s">
        <v>16</v>
      </c>
      <c r="I31" s="90">
        <v>9930.44</v>
      </c>
      <c r="J31" s="90">
        <v>4939.21</v>
      </c>
      <c r="K31" s="91">
        <f t="shared" si="5"/>
        <v>0.50261921928937692</v>
      </c>
      <c r="L31" s="90">
        <v>1122.9100000000001</v>
      </c>
      <c r="M31" s="91">
        <f t="shared" si="6"/>
        <v>0.113077567559947</v>
      </c>
      <c r="N31" s="11">
        <v>423.16</v>
      </c>
      <c r="O31" s="92">
        <v>100</v>
      </c>
      <c r="P31" s="92"/>
      <c r="Q31" s="12"/>
      <c r="R31" s="13"/>
      <c r="S31" s="13"/>
      <c r="T31" s="13"/>
      <c r="U31" s="13"/>
    </row>
    <row r="32" spans="1:21" s="2" customFormat="1" ht="15.75" x14ac:dyDescent="0.25">
      <c r="A32" s="23"/>
      <c r="B32" s="22">
        <f t="shared" si="2"/>
        <v>28</v>
      </c>
      <c r="C32" s="89" t="s">
        <v>29</v>
      </c>
      <c r="D32" s="89" t="s">
        <v>33</v>
      </c>
      <c r="E32" s="89" t="s">
        <v>108</v>
      </c>
      <c r="F32" s="10">
        <v>43915</v>
      </c>
      <c r="G32" s="89" t="s">
        <v>123</v>
      </c>
      <c r="H32" s="22" t="s">
        <v>382</v>
      </c>
      <c r="I32" s="90">
        <v>10806.95</v>
      </c>
      <c r="J32" s="90">
        <v>5782.19</v>
      </c>
      <c r="K32" s="91">
        <f t="shared" si="5"/>
        <v>0.46495634753561371</v>
      </c>
      <c r="L32" s="90">
        <f>547.16+O32</f>
        <v>747.16</v>
      </c>
      <c r="M32" s="91">
        <f t="shared" si="6"/>
        <v>6.9136990547749355E-2</v>
      </c>
      <c r="N32" s="11">
        <v>-1228.8499999999999</v>
      </c>
      <c r="O32" s="92">
        <v>200</v>
      </c>
      <c r="P32" s="92"/>
      <c r="Q32" s="12"/>
      <c r="R32" s="13"/>
      <c r="S32" s="13"/>
      <c r="T32" s="13"/>
      <c r="U32" s="13"/>
    </row>
    <row r="33" spans="1:21" s="2" customFormat="1" ht="15.75" x14ac:dyDescent="0.25">
      <c r="A33" s="23"/>
      <c r="B33" s="22">
        <f t="shared" si="2"/>
        <v>29</v>
      </c>
      <c r="C33" s="89" t="s">
        <v>41</v>
      </c>
      <c r="D33" s="89" t="s">
        <v>33</v>
      </c>
      <c r="E33" s="89" t="s">
        <v>392</v>
      </c>
      <c r="F33" s="10">
        <v>43848</v>
      </c>
      <c r="G33" s="89" t="s">
        <v>124</v>
      </c>
      <c r="H33" s="22" t="s">
        <v>390</v>
      </c>
      <c r="I33" s="90">
        <v>21061.87</v>
      </c>
      <c r="J33" s="90">
        <v>9560.1200000000008</v>
      </c>
      <c r="K33" s="91">
        <f t="shared" si="5"/>
        <v>0.54609348552621395</v>
      </c>
      <c r="L33" s="90">
        <v>2590.13</v>
      </c>
      <c r="M33" s="91">
        <f t="shared" si="6"/>
        <v>0.12297720952602975</v>
      </c>
      <c r="N33" s="11">
        <v>1279.8699999999999</v>
      </c>
      <c r="O33" s="92">
        <v>0</v>
      </c>
      <c r="P33" s="92"/>
      <c r="Q33" s="12"/>
      <c r="R33" s="13"/>
      <c r="S33" s="13"/>
      <c r="T33" s="13"/>
      <c r="U33" s="13"/>
    </row>
    <row r="34" spans="1:21" s="2" customFormat="1" ht="15.75" x14ac:dyDescent="0.25">
      <c r="A34" s="23"/>
      <c r="B34" s="22">
        <f t="shared" si="2"/>
        <v>30</v>
      </c>
      <c r="C34" s="89" t="s">
        <v>29</v>
      </c>
      <c r="D34" s="89" t="s">
        <v>33</v>
      </c>
      <c r="E34" s="89" t="s">
        <v>394</v>
      </c>
      <c r="F34" s="10">
        <v>43873</v>
      </c>
      <c r="G34" s="89" t="s">
        <v>126</v>
      </c>
      <c r="H34" s="22" t="s">
        <v>16</v>
      </c>
      <c r="I34" s="90">
        <v>11904.52</v>
      </c>
      <c r="J34" s="90">
        <v>6551.97</v>
      </c>
      <c r="K34" s="91">
        <f t="shared" si="5"/>
        <v>0.44962333634619456</v>
      </c>
      <c r="L34" s="90">
        <v>952.93</v>
      </c>
      <c r="M34" s="91">
        <f t="shared" si="6"/>
        <v>8.0047746570210299E-2</v>
      </c>
      <c r="N34" s="11">
        <v>45.82</v>
      </c>
      <c r="O34" s="92">
        <v>0</v>
      </c>
      <c r="P34" s="92"/>
      <c r="Q34" s="12"/>
      <c r="R34" s="13"/>
      <c r="S34" s="13"/>
      <c r="T34" s="13"/>
      <c r="U34" s="13"/>
    </row>
    <row r="35" spans="1:21" s="2" customFormat="1" ht="15.75" x14ac:dyDescent="0.25">
      <c r="A35" s="23"/>
      <c r="B35" s="22">
        <f t="shared" si="2"/>
        <v>31</v>
      </c>
      <c r="C35" s="89" t="s">
        <v>127</v>
      </c>
      <c r="D35" s="89" t="s">
        <v>31</v>
      </c>
      <c r="E35" s="89" t="s">
        <v>396</v>
      </c>
      <c r="F35" s="10">
        <v>43883</v>
      </c>
      <c r="G35" s="89" t="s">
        <v>128</v>
      </c>
      <c r="H35" s="22" t="s">
        <v>13</v>
      </c>
      <c r="I35" s="90">
        <v>13289.43</v>
      </c>
      <c r="J35" s="90">
        <v>5422.65</v>
      </c>
      <c r="K35" s="91">
        <f>(I35-J35)/I35</f>
        <v>0.59195766861332655</v>
      </c>
      <c r="L35" s="90">
        <v>1543.81</v>
      </c>
      <c r="M35" s="91">
        <f>L35/I35</f>
        <v>0.1161682630481518</v>
      </c>
      <c r="N35" s="11">
        <v>657.23</v>
      </c>
      <c r="O35" s="92">
        <v>0</v>
      </c>
      <c r="P35" s="92"/>
      <c r="Q35" s="12"/>
      <c r="R35" s="13"/>
      <c r="S35" s="13"/>
      <c r="T35" s="13"/>
      <c r="U35" s="13"/>
    </row>
    <row r="36" spans="1:21" s="2" customFormat="1" ht="15.75" x14ac:dyDescent="0.25">
      <c r="A36" s="23"/>
      <c r="B36" s="22">
        <f t="shared" si="2"/>
        <v>32</v>
      </c>
      <c r="C36" s="89" t="s">
        <v>29</v>
      </c>
      <c r="D36" s="89" t="s">
        <v>39</v>
      </c>
      <c r="E36" s="89" t="s">
        <v>391</v>
      </c>
      <c r="F36" s="10">
        <v>43883</v>
      </c>
      <c r="G36" s="89" t="s">
        <v>129</v>
      </c>
      <c r="H36" s="22" t="s">
        <v>16</v>
      </c>
      <c r="I36" s="90">
        <v>8506.14</v>
      </c>
      <c r="J36" s="90">
        <v>5130.63</v>
      </c>
      <c r="K36" s="91">
        <f>(I36-J36)/I36</f>
        <v>0.39683217064379372</v>
      </c>
      <c r="L36" s="90">
        <v>581.36</v>
      </c>
      <c r="M36" s="91">
        <f>L36/I36</f>
        <v>6.8345924238256139E-2</v>
      </c>
      <c r="N36" s="11">
        <v>-1158.76</v>
      </c>
      <c r="O36" s="92">
        <v>222.25</v>
      </c>
      <c r="P36" s="92"/>
      <c r="Q36" s="12"/>
      <c r="R36" s="13"/>
      <c r="S36" s="13"/>
      <c r="T36" s="13"/>
      <c r="U36" s="13"/>
    </row>
    <row r="37" spans="1:21" s="2" customFormat="1" ht="15.75" x14ac:dyDescent="0.25">
      <c r="A37" s="23"/>
      <c r="B37" s="22">
        <f t="shared" si="2"/>
        <v>33</v>
      </c>
      <c r="C37" s="89" t="s">
        <v>41</v>
      </c>
      <c r="D37" s="89" t="s">
        <v>39</v>
      </c>
      <c r="E37" s="89" t="s">
        <v>130</v>
      </c>
      <c r="F37" s="10">
        <v>43850</v>
      </c>
      <c r="G37" s="89" t="s">
        <v>131</v>
      </c>
      <c r="H37" s="22" t="s">
        <v>18</v>
      </c>
      <c r="I37" s="90">
        <v>16715.03</v>
      </c>
      <c r="J37" s="90">
        <v>8276.48</v>
      </c>
      <c r="K37" s="91">
        <f>(I37-J37)/I37</f>
        <v>0.50484803198079808</v>
      </c>
      <c r="L37" s="90">
        <v>1845</v>
      </c>
      <c r="M37" s="91">
        <f>L37/I37</f>
        <v>0.11037970018600027</v>
      </c>
      <c r="N37" s="11">
        <v>542.23</v>
      </c>
      <c r="O37" s="92">
        <v>0</v>
      </c>
      <c r="P37" s="92"/>
      <c r="Q37" s="12"/>
      <c r="R37" s="13"/>
      <c r="S37" s="13"/>
      <c r="T37" s="13"/>
      <c r="U37" s="13"/>
    </row>
    <row r="38" spans="1:21" s="2" customFormat="1" ht="15.75" x14ac:dyDescent="0.25">
      <c r="A38" s="23"/>
      <c r="B38" s="22">
        <f t="shared" si="2"/>
        <v>34</v>
      </c>
      <c r="C38" s="89" t="s">
        <v>29</v>
      </c>
      <c r="D38" s="89" t="s">
        <v>33</v>
      </c>
      <c r="E38" s="89" t="s">
        <v>392</v>
      </c>
      <c r="F38" s="10">
        <v>43873</v>
      </c>
      <c r="G38" s="89" t="s">
        <v>132</v>
      </c>
      <c r="H38" s="22" t="s">
        <v>390</v>
      </c>
      <c r="I38" s="90">
        <v>17226.419999999998</v>
      </c>
      <c r="J38" s="90">
        <v>8367.6299999999992</v>
      </c>
      <c r="K38" s="91">
        <f t="shared" si="5"/>
        <v>0.51425600908372138</v>
      </c>
      <c r="L38" s="90">
        <v>1928.77</v>
      </c>
      <c r="M38" s="91">
        <f t="shared" si="6"/>
        <v>0.1119658060119282</v>
      </c>
      <c r="N38" s="11">
        <v>627.32000000000005</v>
      </c>
      <c r="O38" s="92">
        <v>0</v>
      </c>
      <c r="P38" s="92"/>
      <c r="Q38" s="12"/>
      <c r="R38" s="13"/>
      <c r="S38" s="13"/>
      <c r="T38" s="13"/>
      <c r="U38" s="13"/>
    </row>
    <row r="39" spans="1:21" s="2" customFormat="1" ht="15.75" x14ac:dyDescent="0.25">
      <c r="A39" s="23"/>
      <c r="B39" s="22">
        <f t="shared" si="2"/>
        <v>35</v>
      </c>
      <c r="C39" s="89" t="s">
        <v>29</v>
      </c>
      <c r="D39" s="89" t="s">
        <v>33</v>
      </c>
      <c r="E39" s="89" t="s">
        <v>392</v>
      </c>
      <c r="F39" s="10">
        <v>43906</v>
      </c>
      <c r="G39" s="89" t="s">
        <v>133</v>
      </c>
      <c r="H39" s="22" t="s">
        <v>16</v>
      </c>
      <c r="I39" s="90">
        <v>9727.91</v>
      </c>
      <c r="J39" s="90">
        <v>4520.5600000000004</v>
      </c>
      <c r="K39" s="91">
        <f t="shared" si="5"/>
        <v>0.53529997707626809</v>
      </c>
      <c r="L39" s="90">
        <v>1144.4000000000001</v>
      </c>
      <c r="M39" s="91">
        <f t="shared" si="6"/>
        <v>0.11764089100330904</v>
      </c>
      <c r="N39" s="11">
        <v>549.01</v>
      </c>
      <c r="O39" s="92">
        <v>0</v>
      </c>
      <c r="P39" s="92"/>
      <c r="Q39" s="12"/>
      <c r="R39" s="13"/>
      <c r="S39" s="13"/>
      <c r="T39" s="13"/>
      <c r="U39" s="13"/>
    </row>
    <row r="40" spans="1:21" s="2" customFormat="1" ht="15.75" x14ac:dyDescent="0.25">
      <c r="A40" s="23"/>
      <c r="B40" s="22">
        <f t="shared" si="2"/>
        <v>36</v>
      </c>
      <c r="C40" s="89" t="s">
        <v>29</v>
      </c>
      <c r="D40" s="89" t="s">
        <v>33</v>
      </c>
      <c r="E40" s="89" t="s">
        <v>392</v>
      </c>
      <c r="F40" s="10">
        <v>43889</v>
      </c>
      <c r="G40" s="89" t="s">
        <v>134</v>
      </c>
      <c r="H40" s="22" t="s">
        <v>16</v>
      </c>
      <c r="I40" s="90">
        <v>13533.26</v>
      </c>
      <c r="J40" s="90">
        <v>6403.83</v>
      </c>
      <c r="K40" s="91">
        <f t="shared" si="5"/>
        <v>0.52680802703857021</v>
      </c>
      <c r="L40" s="90">
        <f>1350.87+O40</f>
        <v>1450.87</v>
      </c>
      <c r="M40" s="91">
        <f t="shared" si="6"/>
        <v>0.10720772378569537</v>
      </c>
      <c r="N40" s="11">
        <v>63.86</v>
      </c>
      <c r="O40" s="92">
        <v>100</v>
      </c>
      <c r="P40" s="92"/>
      <c r="Q40" s="12"/>
      <c r="R40" s="13"/>
      <c r="S40" s="13"/>
      <c r="T40" s="13"/>
      <c r="U40" s="13"/>
    </row>
    <row r="41" spans="1:21" s="2" customFormat="1" ht="15.75" x14ac:dyDescent="0.25">
      <c r="A41" s="23"/>
      <c r="B41" s="22">
        <f t="shared" si="2"/>
        <v>37</v>
      </c>
      <c r="C41" s="89" t="s">
        <v>41</v>
      </c>
      <c r="D41" s="89" t="s">
        <v>33</v>
      </c>
      <c r="E41" s="89" t="s">
        <v>108</v>
      </c>
      <c r="F41" s="10">
        <v>43939</v>
      </c>
      <c r="G41" s="89" t="s">
        <v>135</v>
      </c>
      <c r="H41" s="22" t="s">
        <v>30</v>
      </c>
      <c r="I41" s="90">
        <v>13127.39</v>
      </c>
      <c r="J41" s="90">
        <f>5130.98+750</f>
        <v>5880.98</v>
      </c>
      <c r="K41" s="91">
        <f t="shared" si="5"/>
        <v>0.55200691074158692</v>
      </c>
      <c r="L41" s="90">
        <f>1217.37+O41</f>
        <v>1417.37</v>
      </c>
      <c r="M41" s="91">
        <f t="shared" si="6"/>
        <v>0.10797043433614754</v>
      </c>
      <c r="N41" s="11">
        <v>-49.41</v>
      </c>
      <c r="O41" s="92">
        <v>200</v>
      </c>
      <c r="P41" s="92"/>
      <c r="Q41" s="12"/>
      <c r="R41" s="13"/>
      <c r="S41" s="13"/>
      <c r="T41" s="13"/>
      <c r="U41" s="13"/>
    </row>
    <row r="42" spans="1:21" s="2" customFormat="1" ht="15.75" x14ac:dyDescent="0.25">
      <c r="A42" s="23"/>
      <c r="B42" s="22">
        <f t="shared" si="2"/>
        <v>38</v>
      </c>
      <c r="C42" s="89" t="s">
        <v>29</v>
      </c>
      <c r="D42" s="89" t="s">
        <v>33</v>
      </c>
      <c r="E42" s="89" t="s">
        <v>108</v>
      </c>
      <c r="F42" s="10">
        <v>43917</v>
      </c>
      <c r="G42" s="89" t="s">
        <v>136</v>
      </c>
      <c r="H42" s="22" t="s">
        <v>19</v>
      </c>
      <c r="I42" s="90">
        <v>5481.34</v>
      </c>
      <c r="J42" s="90">
        <v>3135.86</v>
      </c>
      <c r="K42" s="91">
        <f t="shared" si="5"/>
        <v>0.42790266613638273</v>
      </c>
      <c r="L42" s="90">
        <v>342.47</v>
      </c>
      <c r="M42" s="91">
        <f t="shared" si="6"/>
        <v>6.2479247775179068E-2</v>
      </c>
      <c r="N42" s="11">
        <v>-409.16</v>
      </c>
      <c r="O42" s="92">
        <v>0</v>
      </c>
      <c r="P42" s="92"/>
      <c r="Q42" s="12"/>
      <c r="R42" s="13"/>
      <c r="S42" s="13"/>
      <c r="T42" s="13"/>
      <c r="U42" s="13"/>
    </row>
    <row r="43" spans="1:21" s="2" customFormat="1" ht="15.75" x14ac:dyDescent="0.25">
      <c r="A43" s="23"/>
      <c r="B43" s="22">
        <f t="shared" si="2"/>
        <v>39</v>
      </c>
      <c r="C43" s="89" t="s">
        <v>104</v>
      </c>
      <c r="D43" s="89" t="s">
        <v>33</v>
      </c>
      <c r="E43" s="89" t="s">
        <v>394</v>
      </c>
      <c r="F43" s="10">
        <v>43883</v>
      </c>
      <c r="G43" s="89" t="s">
        <v>137</v>
      </c>
      <c r="H43" s="22" t="s">
        <v>16</v>
      </c>
      <c r="I43" s="90">
        <v>8847.94</v>
      </c>
      <c r="J43" s="90">
        <v>4053.45</v>
      </c>
      <c r="K43" s="91">
        <f t="shared" si="5"/>
        <v>0.5418764141709822</v>
      </c>
      <c r="L43" s="90">
        <v>1225.71</v>
      </c>
      <c r="M43" s="91">
        <f t="shared" si="6"/>
        <v>0.13853055061404124</v>
      </c>
      <c r="N43" s="11">
        <v>950.89</v>
      </c>
      <c r="O43" s="92">
        <v>0</v>
      </c>
      <c r="P43" s="92"/>
      <c r="Q43" s="12"/>
      <c r="R43" s="13"/>
      <c r="S43" s="13"/>
      <c r="T43" s="13"/>
      <c r="U43" s="13"/>
    </row>
    <row r="44" spans="1:21" s="2" customFormat="1" ht="15.75" x14ac:dyDescent="0.25">
      <c r="A44" s="23"/>
      <c r="B44" s="22">
        <f t="shared" si="2"/>
        <v>40</v>
      </c>
      <c r="C44" s="89" t="s">
        <v>138</v>
      </c>
      <c r="D44" s="89" t="s">
        <v>31</v>
      </c>
      <c r="E44" s="89" t="s">
        <v>396</v>
      </c>
      <c r="F44" s="10">
        <v>43859</v>
      </c>
      <c r="G44" s="89" t="s">
        <v>139</v>
      </c>
      <c r="H44" s="22" t="s">
        <v>13</v>
      </c>
      <c r="I44" s="90">
        <v>3311.69</v>
      </c>
      <c r="J44" s="90">
        <v>1689.99</v>
      </c>
      <c r="K44" s="91">
        <f t="shared" si="5"/>
        <v>0.48968955427591349</v>
      </c>
      <c r="L44" s="90">
        <v>237.12</v>
      </c>
      <c r="M44" s="91">
        <f t="shared" si="6"/>
        <v>7.1600904674048602E-2</v>
      </c>
      <c r="N44" s="11">
        <v>-148.76</v>
      </c>
      <c r="O44" s="92">
        <v>0</v>
      </c>
      <c r="P44" s="92"/>
      <c r="Q44" s="12"/>
      <c r="R44" s="13"/>
      <c r="S44" s="13"/>
      <c r="T44" s="13"/>
      <c r="U44" s="13"/>
    </row>
    <row r="45" spans="1:21" s="2" customFormat="1" ht="15.75" x14ac:dyDescent="0.25">
      <c r="A45" s="23"/>
      <c r="B45" s="22">
        <f t="shared" si="2"/>
        <v>41</v>
      </c>
      <c r="C45" s="89" t="s">
        <v>41</v>
      </c>
      <c r="D45" s="89" t="s">
        <v>39</v>
      </c>
      <c r="E45" s="89" t="s">
        <v>392</v>
      </c>
      <c r="F45" s="10">
        <v>43833</v>
      </c>
      <c r="G45" s="89" t="s">
        <v>140</v>
      </c>
      <c r="H45" s="22" t="s">
        <v>16</v>
      </c>
      <c r="I45" s="90">
        <v>12257.69</v>
      </c>
      <c r="J45" s="90">
        <v>5806.3</v>
      </c>
      <c r="K45" s="91">
        <f t="shared" si="5"/>
        <v>0.52631368553128688</v>
      </c>
      <c r="L45" s="90">
        <v>1542.03</v>
      </c>
      <c r="M45" s="91">
        <f t="shared" si="6"/>
        <v>0.1258010277629798</v>
      </c>
      <c r="N45" s="11">
        <v>882.69</v>
      </c>
      <c r="O45" s="92">
        <v>0</v>
      </c>
      <c r="P45" s="92"/>
      <c r="Q45" s="12"/>
      <c r="R45" s="13"/>
      <c r="S45" s="13"/>
      <c r="T45" s="13"/>
      <c r="U45" s="13"/>
    </row>
    <row r="46" spans="1:21" s="2" customFormat="1" ht="15.75" x14ac:dyDescent="0.25">
      <c r="A46" s="23"/>
      <c r="B46" s="22">
        <f t="shared" si="2"/>
        <v>42</v>
      </c>
      <c r="C46" s="89" t="s">
        <v>29</v>
      </c>
      <c r="D46" s="89" t="s">
        <v>52</v>
      </c>
      <c r="E46" s="89" t="s">
        <v>394</v>
      </c>
      <c r="F46" s="10">
        <v>43915</v>
      </c>
      <c r="G46" s="89" t="s">
        <v>141</v>
      </c>
      <c r="H46" s="22" t="s">
        <v>16</v>
      </c>
      <c r="I46" s="90">
        <v>4455.16</v>
      </c>
      <c r="J46" s="90">
        <v>2954.52</v>
      </c>
      <c r="K46" s="91">
        <f t="shared" si="5"/>
        <v>0.33683189829321503</v>
      </c>
      <c r="L46" s="90">
        <v>215.06</v>
      </c>
      <c r="M46" s="91">
        <f t="shared" si="6"/>
        <v>4.8272115928496395E-2</v>
      </c>
      <c r="N46" s="11">
        <v>-540.74</v>
      </c>
      <c r="O46" s="92">
        <v>3.34</v>
      </c>
      <c r="P46" s="92"/>
      <c r="Q46" s="12"/>
      <c r="R46" s="13"/>
      <c r="S46" s="13"/>
      <c r="T46" s="13"/>
      <c r="U46" s="13"/>
    </row>
    <row r="47" spans="1:21" s="2" customFormat="1" ht="15.75" x14ac:dyDescent="0.25">
      <c r="A47" s="23"/>
      <c r="B47" s="22">
        <f t="shared" si="2"/>
        <v>43</v>
      </c>
      <c r="C47" s="89" t="s">
        <v>41</v>
      </c>
      <c r="D47" s="89" t="s">
        <v>33</v>
      </c>
      <c r="E47" s="89" t="s">
        <v>108</v>
      </c>
      <c r="F47" s="10">
        <v>43931</v>
      </c>
      <c r="G47" s="89" t="s">
        <v>142</v>
      </c>
      <c r="H47" s="22" t="s">
        <v>19</v>
      </c>
      <c r="I47" s="90">
        <v>6986.86</v>
      </c>
      <c r="J47" s="90">
        <v>3033.05</v>
      </c>
      <c r="K47" s="91">
        <f t="shared" si="5"/>
        <v>0.5658922606149257</v>
      </c>
      <c r="L47" s="90">
        <f>705.89+O47</f>
        <v>805.89</v>
      </c>
      <c r="M47" s="91">
        <f t="shared" si="6"/>
        <v>0.11534365938347126</v>
      </c>
      <c r="N47" s="11">
        <v>275.26</v>
      </c>
      <c r="O47" s="92">
        <v>100</v>
      </c>
      <c r="P47" s="92"/>
      <c r="Q47" s="12"/>
      <c r="R47" s="13"/>
      <c r="S47" s="13"/>
      <c r="T47" s="13"/>
      <c r="U47" s="13"/>
    </row>
    <row r="48" spans="1:21" s="2" customFormat="1" ht="15.75" x14ac:dyDescent="0.25">
      <c r="A48" s="23"/>
      <c r="B48" s="22">
        <f t="shared" si="2"/>
        <v>44</v>
      </c>
      <c r="C48" s="89" t="s">
        <v>81</v>
      </c>
      <c r="D48" s="89" t="s">
        <v>98</v>
      </c>
      <c r="E48" s="89" t="s">
        <v>396</v>
      </c>
      <c r="F48" s="10">
        <v>43885</v>
      </c>
      <c r="G48" s="89" t="s">
        <v>143</v>
      </c>
      <c r="H48" s="22" t="s">
        <v>13</v>
      </c>
      <c r="I48" s="90">
        <v>19261.46</v>
      </c>
      <c r="J48" s="90">
        <v>7571.18</v>
      </c>
      <c r="K48" s="91">
        <f t="shared" si="5"/>
        <v>0.60692595473032673</v>
      </c>
      <c r="L48" s="90">
        <v>2208.39</v>
      </c>
      <c r="M48" s="91">
        <f t="shared" si="6"/>
        <v>0.11465330250147185</v>
      </c>
      <c r="N48" s="11">
        <v>961.86</v>
      </c>
      <c r="O48" s="92">
        <v>0</v>
      </c>
      <c r="P48" s="92"/>
      <c r="Q48" s="12" t="s">
        <v>144</v>
      </c>
      <c r="R48" s="13"/>
      <c r="S48" s="13"/>
      <c r="T48" s="13"/>
      <c r="U48" s="13"/>
    </row>
    <row r="49" spans="1:21" s="2" customFormat="1" ht="15.75" x14ac:dyDescent="0.25">
      <c r="A49" s="23"/>
      <c r="B49" s="22">
        <f t="shared" si="2"/>
        <v>45</v>
      </c>
      <c r="C49" s="89" t="s">
        <v>145</v>
      </c>
      <c r="D49" s="89" t="s">
        <v>98</v>
      </c>
      <c r="E49" s="89" t="s">
        <v>392</v>
      </c>
      <c r="F49" s="10">
        <v>43938</v>
      </c>
      <c r="G49" s="89" t="s">
        <v>146</v>
      </c>
      <c r="H49" s="22" t="s">
        <v>16</v>
      </c>
      <c r="I49" s="90">
        <v>14787.29</v>
      </c>
      <c r="J49" s="90">
        <v>4951.99</v>
      </c>
      <c r="K49" s="91">
        <f t="shared" si="5"/>
        <v>0.66511849027103687</v>
      </c>
      <c r="L49" s="90">
        <v>2020.72</v>
      </c>
      <c r="M49" s="91">
        <f t="shared" si="6"/>
        <v>0.13665249007762748</v>
      </c>
      <c r="N49" s="11">
        <v>2279.39</v>
      </c>
      <c r="O49" s="92">
        <v>0</v>
      </c>
      <c r="P49" s="92"/>
      <c r="Q49" s="12" t="s">
        <v>144</v>
      </c>
      <c r="R49" s="13"/>
      <c r="S49" s="13"/>
      <c r="T49" s="13"/>
      <c r="U49" s="13"/>
    </row>
    <row r="50" spans="1:21" s="2" customFormat="1" ht="15.75" x14ac:dyDescent="0.25">
      <c r="A50" s="23"/>
      <c r="B50" s="22">
        <f t="shared" si="2"/>
        <v>46</v>
      </c>
      <c r="C50" s="89" t="s">
        <v>29</v>
      </c>
      <c r="D50" s="89" t="s">
        <v>33</v>
      </c>
      <c r="E50" s="89" t="s">
        <v>108</v>
      </c>
      <c r="F50" s="10">
        <v>43948</v>
      </c>
      <c r="G50" s="89" t="s">
        <v>147</v>
      </c>
      <c r="H50" s="22" t="s">
        <v>19</v>
      </c>
      <c r="I50" s="90">
        <v>5258.84</v>
      </c>
      <c r="J50" s="90">
        <v>1977.67</v>
      </c>
      <c r="K50" s="91">
        <f t="shared" si="5"/>
        <v>0.62393417559766029</v>
      </c>
      <c r="L50" s="90">
        <v>845.54</v>
      </c>
      <c r="M50" s="91">
        <f t="shared" si="6"/>
        <v>0.16078450761004326</v>
      </c>
      <c r="N50" s="11">
        <v>904.14</v>
      </c>
      <c r="O50" s="92">
        <v>0</v>
      </c>
      <c r="P50" s="92"/>
      <c r="Q50" s="12"/>
      <c r="R50" s="13"/>
      <c r="S50" s="13"/>
      <c r="T50" s="13"/>
      <c r="U50" s="13"/>
    </row>
    <row r="51" spans="1:21" s="2" customFormat="1" ht="15.75" x14ac:dyDescent="0.25">
      <c r="A51" s="23"/>
      <c r="B51" s="22">
        <f t="shared" si="2"/>
        <v>47</v>
      </c>
      <c r="C51" s="89" t="s">
        <v>29</v>
      </c>
      <c r="D51" s="89" t="s">
        <v>52</v>
      </c>
      <c r="E51" s="89" t="s">
        <v>394</v>
      </c>
      <c r="F51" s="10">
        <v>43895</v>
      </c>
      <c r="G51" s="89" t="s">
        <v>148</v>
      </c>
      <c r="H51" s="22" t="s">
        <v>16</v>
      </c>
      <c r="I51" s="90">
        <v>9987.49</v>
      </c>
      <c r="J51" s="90">
        <v>4631.24</v>
      </c>
      <c r="K51" s="91">
        <f t="shared" si="5"/>
        <v>0.53629590617862943</v>
      </c>
      <c r="L51" s="90">
        <v>1127.6400000000001</v>
      </c>
      <c r="M51" s="91">
        <f t="shared" si="6"/>
        <v>0.11290524446082049</v>
      </c>
      <c r="N51" s="11">
        <v>397.49</v>
      </c>
      <c r="O51" s="92">
        <v>0</v>
      </c>
      <c r="P51" s="92"/>
      <c r="Q51" s="12"/>
      <c r="R51" s="13"/>
      <c r="S51" s="13"/>
      <c r="T51" s="13"/>
      <c r="U51" s="13"/>
    </row>
    <row r="52" spans="1:21" s="2" customFormat="1" ht="15.75" x14ac:dyDescent="0.25">
      <c r="A52" s="23"/>
      <c r="B52" s="22">
        <f t="shared" si="2"/>
        <v>48</v>
      </c>
      <c r="C52" s="89" t="s">
        <v>29</v>
      </c>
      <c r="D52" s="89" t="s">
        <v>33</v>
      </c>
      <c r="E52" s="89" t="s">
        <v>394</v>
      </c>
      <c r="F52" s="10">
        <v>43847</v>
      </c>
      <c r="G52" s="89" t="s">
        <v>89</v>
      </c>
      <c r="H52" s="22" t="s">
        <v>16</v>
      </c>
      <c r="I52" s="90">
        <v>10624.33</v>
      </c>
      <c r="J52" s="90">
        <v>5023.7299999999996</v>
      </c>
      <c r="K52" s="91">
        <f t="shared" si="5"/>
        <v>0.52714853548412</v>
      </c>
      <c r="L52" s="90">
        <v>1297.69</v>
      </c>
      <c r="M52" s="91">
        <f t="shared" si="6"/>
        <v>0.12214323162025277</v>
      </c>
      <c r="N52" s="11">
        <v>703.13</v>
      </c>
      <c r="O52" s="92">
        <v>0</v>
      </c>
      <c r="P52" s="92"/>
      <c r="Q52" s="12"/>
      <c r="R52" s="13"/>
      <c r="S52" s="13"/>
      <c r="T52" s="13"/>
      <c r="U52" s="13"/>
    </row>
    <row r="53" spans="1:21" s="2" customFormat="1" ht="15.75" x14ac:dyDescent="0.25">
      <c r="A53" s="23"/>
      <c r="B53" s="22">
        <f t="shared" si="2"/>
        <v>49</v>
      </c>
      <c r="C53" s="89" t="s">
        <v>29</v>
      </c>
      <c r="D53" s="89" t="s">
        <v>52</v>
      </c>
      <c r="E53" s="89" t="s">
        <v>391</v>
      </c>
      <c r="F53" s="10">
        <v>43894</v>
      </c>
      <c r="G53" s="89" t="s">
        <v>49</v>
      </c>
      <c r="H53" s="22" t="s">
        <v>390</v>
      </c>
      <c r="I53" s="90">
        <v>17577.75</v>
      </c>
      <c r="J53" s="90">
        <v>8650.11</v>
      </c>
      <c r="K53" s="91">
        <f t="shared" si="5"/>
        <v>0.50789435507957503</v>
      </c>
      <c r="L53" s="90">
        <f>548.24+748.24</f>
        <v>1296.48</v>
      </c>
      <c r="M53" s="91">
        <f>L53/I53</f>
        <v>7.3756880146776463E-2</v>
      </c>
      <c r="N53" s="11">
        <v>-1380.35</v>
      </c>
      <c r="O53" s="92">
        <v>200</v>
      </c>
      <c r="P53" s="92"/>
      <c r="Q53" s="12"/>
      <c r="R53" s="13"/>
      <c r="S53" s="13"/>
      <c r="T53" s="13"/>
      <c r="U53" s="13"/>
    </row>
    <row r="54" spans="1:21" s="2" customFormat="1" ht="15.75" x14ac:dyDescent="0.25">
      <c r="A54" s="23"/>
      <c r="B54" s="22">
        <f t="shared" si="2"/>
        <v>50</v>
      </c>
      <c r="C54" s="89" t="s">
        <v>29</v>
      </c>
      <c r="D54" s="89" t="s">
        <v>52</v>
      </c>
      <c r="E54" s="89" t="s">
        <v>394</v>
      </c>
      <c r="F54" s="10">
        <v>43936</v>
      </c>
      <c r="G54" s="89" t="s">
        <v>149</v>
      </c>
      <c r="H54" s="22" t="s">
        <v>16</v>
      </c>
      <c r="I54" s="90">
        <v>6950.64</v>
      </c>
      <c r="J54" s="90">
        <v>3611.18</v>
      </c>
      <c r="K54" s="91">
        <f t="shared" si="5"/>
        <v>0.48045359851754665</v>
      </c>
      <c r="L54" s="90">
        <v>609.78</v>
      </c>
      <c r="M54" s="91">
        <f t="shared" si="6"/>
        <v>8.7730050757915803E-2</v>
      </c>
      <c r="N54" s="11">
        <v>-126.96</v>
      </c>
      <c r="O54" s="92">
        <v>0</v>
      </c>
      <c r="P54" s="92"/>
      <c r="Q54" s="12"/>
      <c r="R54" s="13"/>
      <c r="S54" s="13"/>
      <c r="T54" s="13"/>
      <c r="U54" s="13"/>
    </row>
    <row r="55" spans="1:21" s="2" customFormat="1" ht="15.75" x14ac:dyDescent="0.25">
      <c r="A55" s="23"/>
      <c r="B55" s="22">
        <f t="shared" si="2"/>
        <v>51</v>
      </c>
      <c r="C55" s="89" t="s">
        <v>29</v>
      </c>
      <c r="D55" s="89" t="s">
        <v>52</v>
      </c>
      <c r="E55" s="89" t="s">
        <v>392</v>
      </c>
      <c r="F55" s="10">
        <v>43907</v>
      </c>
      <c r="G55" s="89" t="s">
        <v>150</v>
      </c>
      <c r="H55" s="22" t="s">
        <v>16</v>
      </c>
      <c r="I55" s="90">
        <v>5950.17</v>
      </c>
      <c r="J55" s="90">
        <v>3274.78</v>
      </c>
      <c r="K55" s="91">
        <f>(I55-J55)/I55</f>
        <v>0.4496325315075031</v>
      </c>
      <c r="L55" s="90">
        <f>228.71+O55</f>
        <v>378.71000000000004</v>
      </c>
      <c r="M55" s="91">
        <f>L55/I55</f>
        <v>6.3646921012340832E-2</v>
      </c>
      <c r="N55" s="11">
        <v>-872.03</v>
      </c>
      <c r="O55" s="92">
        <v>150</v>
      </c>
      <c r="P55" s="92"/>
      <c r="Q55" s="12"/>
      <c r="R55" s="13"/>
      <c r="S55" s="13"/>
      <c r="T55" s="13"/>
      <c r="U55" s="13"/>
    </row>
    <row r="56" spans="1:21" s="2" customFormat="1" ht="15.75" x14ac:dyDescent="0.25">
      <c r="A56" s="23"/>
      <c r="B56" s="22">
        <f t="shared" si="2"/>
        <v>52</v>
      </c>
      <c r="C56" s="89" t="s">
        <v>29</v>
      </c>
      <c r="D56" s="89" t="s">
        <v>33</v>
      </c>
      <c r="E56" s="89" t="s">
        <v>395</v>
      </c>
      <c r="F56" s="10">
        <v>43957</v>
      </c>
      <c r="G56" s="89" t="s">
        <v>151</v>
      </c>
      <c r="H56" s="22" t="s">
        <v>24</v>
      </c>
      <c r="I56" s="90">
        <v>8597.17</v>
      </c>
      <c r="J56" s="90">
        <v>3618.83</v>
      </c>
      <c r="K56" s="91">
        <f>(I56-J56)/I56</f>
        <v>0.5790672977270428</v>
      </c>
      <c r="L56" s="90">
        <f>837.79+O56</f>
        <v>987.79</v>
      </c>
      <c r="M56" s="91">
        <f>L56/I56</f>
        <v>0.11489711149133959</v>
      </c>
      <c r="N56" s="11">
        <v>50.17</v>
      </c>
      <c r="O56" s="92">
        <v>150</v>
      </c>
      <c r="P56" s="92"/>
      <c r="Q56" s="12"/>
      <c r="R56" s="13"/>
      <c r="S56" s="13"/>
      <c r="T56" s="13"/>
      <c r="U56" s="13"/>
    </row>
    <row r="57" spans="1:21" s="2" customFormat="1" ht="15.75" x14ac:dyDescent="0.25">
      <c r="A57" s="23"/>
      <c r="B57" s="22">
        <f t="shared" si="2"/>
        <v>53</v>
      </c>
      <c r="C57" s="89" t="s">
        <v>152</v>
      </c>
      <c r="D57" s="89" t="s">
        <v>52</v>
      </c>
      <c r="E57" s="89" t="s">
        <v>392</v>
      </c>
      <c r="F57" s="10">
        <v>43893</v>
      </c>
      <c r="G57" s="89" t="s">
        <v>42</v>
      </c>
      <c r="H57" s="22" t="s">
        <v>16</v>
      </c>
      <c r="I57" s="90">
        <v>7037.03</v>
      </c>
      <c r="J57" s="90">
        <v>3605.34</v>
      </c>
      <c r="K57" s="91">
        <f>(I57-J57)/I57</f>
        <v>0.48766169818801391</v>
      </c>
      <c r="L57" s="90">
        <v>730.97</v>
      </c>
      <c r="M57" s="91">
        <f>L57/I57</f>
        <v>0.1038747880853144</v>
      </c>
      <c r="N57" s="11">
        <v>213.43</v>
      </c>
      <c r="O57" s="92">
        <v>0</v>
      </c>
      <c r="P57" s="92"/>
      <c r="Q57" s="12"/>
      <c r="R57" s="13"/>
      <c r="S57" s="13"/>
      <c r="T57" s="13"/>
      <c r="U57" s="13"/>
    </row>
    <row r="58" spans="1:21" s="2" customFormat="1" ht="15.75" x14ac:dyDescent="0.25">
      <c r="A58" s="23"/>
      <c r="B58" s="22">
        <f t="shared" si="2"/>
        <v>54</v>
      </c>
      <c r="C58" s="89" t="s">
        <v>29</v>
      </c>
      <c r="D58" s="89" t="s">
        <v>26</v>
      </c>
      <c r="E58" s="89" t="s">
        <v>396</v>
      </c>
      <c r="F58" s="10">
        <v>43904</v>
      </c>
      <c r="G58" s="89" t="s">
        <v>50</v>
      </c>
      <c r="H58" s="22" t="s">
        <v>20</v>
      </c>
      <c r="I58" s="90">
        <v>4913.09</v>
      </c>
      <c r="J58" s="90">
        <v>2668.21</v>
      </c>
      <c r="K58" s="91">
        <f>(I58-J58)/I58</f>
        <v>0.45691815130600094</v>
      </c>
      <c r="L58" s="90">
        <v>402.29</v>
      </c>
      <c r="M58" s="91">
        <f>L58/I58</f>
        <v>8.1881260062404718E-2</v>
      </c>
      <c r="N58" s="11">
        <v>-111.31</v>
      </c>
      <c r="O58" s="92">
        <v>0</v>
      </c>
      <c r="P58" s="92"/>
      <c r="Q58" s="12"/>
      <c r="R58" s="13"/>
      <c r="S58" s="13"/>
      <c r="T58" s="13"/>
      <c r="U58" s="13"/>
    </row>
    <row r="59" spans="1:21" s="2" customFormat="1" ht="15.75" x14ac:dyDescent="0.25">
      <c r="A59" s="23"/>
      <c r="B59" s="22">
        <f t="shared" si="2"/>
        <v>55</v>
      </c>
      <c r="C59" s="89" t="s">
        <v>29</v>
      </c>
      <c r="D59" s="89" t="s">
        <v>26</v>
      </c>
      <c r="E59" s="89" t="s">
        <v>108</v>
      </c>
      <c r="F59" s="10">
        <v>43897</v>
      </c>
      <c r="G59" s="89" t="s">
        <v>153</v>
      </c>
      <c r="H59" s="22" t="s">
        <v>14</v>
      </c>
      <c r="I59" s="90">
        <v>12514.48</v>
      </c>
      <c r="J59" s="90">
        <v>5926.12</v>
      </c>
      <c r="K59" s="91">
        <f t="shared" si="5"/>
        <v>0.52645894995237519</v>
      </c>
      <c r="L59" s="90">
        <v>1465.6</v>
      </c>
      <c r="M59" s="91">
        <f t="shared" si="6"/>
        <v>0.11711233706873957</v>
      </c>
      <c r="N59" s="11">
        <v>741.88</v>
      </c>
      <c r="O59" s="92">
        <v>0</v>
      </c>
      <c r="P59" s="92"/>
      <c r="Q59" s="12"/>
      <c r="R59" s="13"/>
      <c r="S59" s="13"/>
      <c r="T59" s="13"/>
      <c r="U59" s="13"/>
    </row>
    <row r="60" spans="1:21" s="2" customFormat="1" ht="15.75" x14ac:dyDescent="0.25">
      <c r="A60" s="23"/>
      <c r="B60" s="22">
        <f t="shared" si="2"/>
        <v>56</v>
      </c>
      <c r="C60" s="89" t="s">
        <v>29</v>
      </c>
      <c r="D60" s="89" t="s">
        <v>39</v>
      </c>
      <c r="E60" s="89" t="s">
        <v>154</v>
      </c>
      <c r="F60" s="10">
        <v>43951</v>
      </c>
      <c r="G60" s="89" t="s">
        <v>120</v>
      </c>
      <c r="H60" s="22" t="s">
        <v>18</v>
      </c>
      <c r="I60" s="90">
        <v>1390.5</v>
      </c>
      <c r="J60" s="90">
        <v>628.21</v>
      </c>
      <c r="K60" s="91">
        <f t="shared" si="5"/>
        <v>0.54821287306724198</v>
      </c>
      <c r="L60" s="90">
        <v>127.41</v>
      </c>
      <c r="M60" s="91">
        <f t="shared" si="6"/>
        <v>9.1628910463861915E-2</v>
      </c>
      <c r="N60" s="11">
        <v>-29.1</v>
      </c>
      <c r="O60" s="92">
        <v>0</v>
      </c>
      <c r="P60" s="92"/>
      <c r="Q60" s="12"/>
      <c r="R60" s="13"/>
      <c r="S60" s="13"/>
      <c r="T60" s="13"/>
      <c r="U60" s="13"/>
    </row>
    <row r="61" spans="1:21" s="2" customFormat="1" ht="15.75" x14ac:dyDescent="0.25">
      <c r="A61" s="23"/>
      <c r="B61" s="22">
        <f t="shared" si="2"/>
        <v>57</v>
      </c>
      <c r="C61" s="89" t="s">
        <v>41</v>
      </c>
      <c r="D61" s="89" t="s">
        <v>31</v>
      </c>
      <c r="E61" s="89" t="s">
        <v>396</v>
      </c>
      <c r="F61" s="10">
        <v>43950</v>
      </c>
      <c r="G61" s="89" t="s">
        <v>155</v>
      </c>
      <c r="H61" s="22" t="s">
        <v>13</v>
      </c>
      <c r="I61" s="90">
        <v>3458.15</v>
      </c>
      <c r="J61" s="90">
        <v>1623.01</v>
      </c>
      <c r="K61" s="91">
        <f t="shared" si="5"/>
        <v>0.53067102352413864</v>
      </c>
      <c r="L61" s="90">
        <v>353.25</v>
      </c>
      <c r="M61" s="91">
        <f t="shared" si="6"/>
        <v>0.10214999349363099</v>
      </c>
      <c r="N61" s="11">
        <v>92.84</v>
      </c>
      <c r="O61" s="92">
        <v>0</v>
      </c>
      <c r="P61" s="92"/>
      <c r="Q61" s="12"/>
      <c r="R61" s="13"/>
      <c r="S61" s="13"/>
      <c r="T61" s="13"/>
      <c r="U61" s="13"/>
    </row>
    <row r="62" spans="1:21" s="2" customFormat="1" ht="15.75" x14ac:dyDescent="0.25">
      <c r="A62" s="23"/>
      <c r="B62" s="22">
        <f t="shared" si="2"/>
        <v>58</v>
      </c>
      <c r="C62" s="89" t="s">
        <v>29</v>
      </c>
      <c r="D62" s="89" t="s">
        <v>39</v>
      </c>
      <c r="E62" s="89" t="s">
        <v>391</v>
      </c>
      <c r="F62" s="10">
        <v>43941</v>
      </c>
      <c r="G62" s="89" t="s">
        <v>156</v>
      </c>
      <c r="H62" s="22" t="s">
        <v>18</v>
      </c>
      <c r="I62" s="90">
        <v>15220.18</v>
      </c>
      <c r="J62" s="90">
        <v>5956.88</v>
      </c>
      <c r="K62" s="91">
        <f t="shared" si="5"/>
        <v>0.60861960896651679</v>
      </c>
      <c r="L62" s="90">
        <v>1775.45</v>
      </c>
      <c r="M62" s="91">
        <f t="shared" si="6"/>
        <v>0.11665105143303167</v>
      </c>
      <c r="N62" s="11">
        <v>703.58</v>
      </c>
      <c r="O62" s="92">
        <v>0</v>
      </c>
      <c r="P62" s="92"/>
      <c r="Q62" s="12"/>
      <c r="R62" s="13"/>
      <c r="S62" s="13"/>
      <c r="T62" s="13"/>
      <c r="U62" s="13"/>
    </row>
    <row r="63" spans="1:21" s="2" customFormat="1" ht="15.75" x14ac:dyDescent="0.25">
      <c r="A63" s="23"/>
      <c r="B63" s="22">
        <f t="shared" si="2"/>
        <v>59</v>
      </c>
      <c r="C63" s="89" t="s">
        <v>29</v>
      </c>
      <c r="D63" s="89" t="s">
        <v>33</v>
      </c>
      <c r="E63" s="89" t="s">
        <v>395</v>
      </c>
      <c r="F63" s="10">
        <v>43964</v>
      </c>
      <c r="G63" s="89" t="s">
        <v>157</v>
      </c>
      <c r="H63" s="22" t="s">
        <v>30</v>
      </c>
      <c r="I63" s="90">
        <v>5747.39</v>
      </c>
      <c r="J63" s="90">
        <v>1877.93</v>
      </c>
      <c r="K63" s="91">
        <f t="shared" si="5"/>
        <v>0.67325516451815515</v>
      </c>
      <c r="L63" s="90">
        <v>943.1</v>
      </c>
      <c r="M63" s="91">
        <f t="shared" si="6"/>
        <v>0.16409187474662412</v>
      </c>
      <c r="N63" s="11">
        <v>1113.3900000000001</v>
      </c>
      <c r="O63" s="92">
        <v>0</v>
      </c>
      <c r="P63" s="92"/>
      <c r="Q63" s="12"/>
      <c r="R63" s="13"/>
      <c r="S63" s="13"/>
      <c r="T63" s="13"/>
      <c r="U63" s="13"/>
    </row>
    <row r="64" spans="1:21" s="2" customFormat="1" ht="15.75" x14ac:dyDescent="0.25">
      <c r="A64" s="23"/>
      <c r="B64" s="22">
        <f t="shared" si="2"/>
        <v>60</v>
      </c>
      <c r="C64" s="89" t="s">
        <v>41</v>
      </c>
      <c r="D64" s="89" t="s">
        <v>26</v>
      </c>
      <c r="E64" s="89" t="s">
        <v>396</v>
      </c>
      <c r="F64" s="10">
        <v>43980</v>
      </c>
      <c r="G64" s="89" t="s">
        <v>158</v>
      </c>
      <c r="H64" s="22" t="s">
        <v>20</v>
      </c>
      <c r="I64" s="90">
        <v>3528.73</v>
      </c>
      <c r="J64" s="90">
        <v>2207.7800000000002</v>
      </c>
      <c r="K64" s="91">
        <f t="shared" si="5"/>
        <v>0.37434147696196646</v>
      </c>
      <c r="L64" s="90">
        <v>242.98</v>
      </c>
      <c r="M64" s="91">
        <f t="shared" si="6"/>
        <v>6.8857634333031992E-2</v>
      </c>
      <c r="N64" s="11">
        <v>-38.47</v>
      </c>
      <c r="O64" s="92">
        <v>0</v>
      </c>
      <c r="P64" s="92"/>
      <c r="Q64" s="12"/>
      <c r="R64" s="13"/>
      <c r="S64" s="13"/>
      <c r="T64" s="13"/>
      <c r="U64" s="13"/>
    </row>
    <row r="65" spans="1:21" s="2" customFormat="1" ht="15.75" x14ac:dyDescent="0.25">
      <c r="A65" s="23"/>
      <c r="B65" s="22">
        <f t="shared" si="2"/>
        <v>61</v>
      </c>
      <c r="C65" s="89" t="s">
        <v>38</v>
      </c>
      <c r="D65" s="89" t="s">
        <v>31</v>
      </c>
      <c r="E65" s="89" t="s">
        <v>391</v>
      </c>
      <c r="F65" s="10">
        <v>43861</v>
      </c>
      <c r="G65" s="89" t="s">
        <v>159</v>
      </c>
      <c r="H65" s="22" t="s">
        <v>390</v>
      </c>
      <c r="I65" s="90">
        <v>16395.900000000001</v>
      </c>
      <c r="J65" s="90">
        <v>8559.73</v>
      </c>
      <c r="K65" s="91">
        <f t="shared" si="5"/>
        <v>0.47793472758433519</v>
      </c>
      <c r="L65" s="90">
        <v>1179.47</v>
      </c>
      <c r="M65" s="91">
        <f t="shared" si="6"/>
        <v>7.1936886660689564E-2</v>
      </c>
      <c r="N65" s="11">
        <v>-879.4</v>
      </c>
      <c r="O65" s="92">
        <v>0</v>
      </c>
      <c r="P65" s="92"/>
      <c r="Q65" s="12"/>
      <c r="R65" s="13"/>
      <c r="S65" s="13"/>
      <c r="T65" s="13"/>
      <c r="U65" s="13"/>
    </row>
    <row r="66" spans="1:21" s="2" customFormat="1" ht="15.75" x14ac:dyDescent="0.25">
      <c r="A66" s="23"/>
      <c r="B66" s="22">
        <f t="shared" si="2"/>
        <v>62</v>
      </c>
      <c r="C66" s="89" t="s">
        <v>29</v>
      </c>
      <c r="D66" s="89" t="s">
        <v>52</v>
      </c>
      <c r="E66" s="89" t="s">
        <v>392</v>
      </c>
      <c r="F66" s="10">
        <v>44000</v>
      </c>
      <c r="G66" s="89" t="s">
        <v>160</v>
      </c>
      <c r="H66" s="22" t="s">
        <v>16</v>
      </c>
      <c r="I66" s="90">
        <v>7490.15</v>
      </c>
      <c r="J66" s="90">
        <v>4033</v>
      </c>
      <c r="K66" s="91">
        <f t="shared" si="5"/>
        <v>0.46155951482947599</v>
      </c>
      <c r="L66" s="90">
        <f>378.92+O66</f>
        <v>478.92</v>
      </c>
      <c r="M66" s="91">
        <f t="shared" si="6"/>
        <v>6.3939974499843136E-2</v>
      </c>
      <c r="N66" s="11">
        <v>-855.25</v>
      </c>
      <c r="O66" s="92">
        <v>100</v>
      </c>
      <c r="P66" s="92"/>
      <c r="Q66" s="12"/>
      <c r="R66" s="13"/>
      <c r="S66" s="13"/>
      <c r="T66" s="13"/>
      <c r="U66" s="13"/>
    </row>
    <row r="67" spans="1:21" s="2" customFormat="1" ht="15.75" x14ac:dyDescent="0.25">
      <c r="A67" s="23"/>
      <c r="B67" s="22">
        <f t="shared" si="2"/>
        <v>63</v>
      </c>
      <c r="C67" s="89" t="s">
        <v>29</v>
      </c>
      <c r="D67" s="89" t="s">
        <v>26</v>
      </c>
      <c r="E67" s="89" t="s">
        <v>395</v>
      </c>
      <c r="F67" s="10">
        <v>43963</v>
      </c>
      <c r="G67" s="89" t="s">
        <v>161</v>
      </c>
      <c r="H67" s="22" t="s">
        <v>19</v>
      </c>
      <c r="I67" s="90">
        <v>13895.48</v>
      </c>
      <c r="J67" s="90">
        <v>5534.52</v>
      </c>
      <c r="K67" s="91">
        <f t="shared" si="5"/>
        <v>0.60170357555118636</v>
      </c>
      <c r="L67" s="90">
        <v>1602.96</v>
      </c>
      <c r="M67" s="91">
        <f t="shared" si="6"/>
        <v>0.11535837552930882</v>
      </c>
      <c r="N67" s="11">
        <v>920.28</v>
      </c>
      <c r="O67" s="92">
        <v>0</v>
      </c>
      <c r="P67" s="92"/>
      <c r="Q67" s="12"/>
      <c r="R67" s="13"/>
      <c r="S67" s="13"/>
      <c r="T67" s="13"/>
      <c r="U67" s="13"/>
    </row>
    <row r="68" spans="1:21" s="2" customFormat="1" ht="15.75" x14ac:dyDescent="0.25">
      <c r="A68" s="23"/>
      <c r="B68" s="22">
        <f t="shared" si="2"/>
        <v>64</v>
      </c>
      <c r="C68" s="89" t="s">
        <v>162</v>
      </c>
      <c r="D68" s="89" t="s">
        <v>98</v>
      </c>
      <c r="E68" s="89" t="s">
        <v>108</v>
      </c>
      <c r="F68" s="10">
        <v>43892</v>
      </c>
      <c r="G68" s="89" t="s">
        <v>163</v>
      </c>
      <c r="H68" s="22" t="s">
        <v>56</v>
      </c>
      <c r="I68" s="90">
        <v>24943.13</v>
      </c>
      <c r="J68" s="90">
        <v>23326.799999999999</v>
      </c>
      <c r="K68" s="91">
        <f t="shared" si="5"/>
        <v>6.4800608424043074E-2</v>
      </c>
      <c r="L68" s="90">
        <v>0</v>
      </c>
      <c r="M68" s="91">
        <f t="shared" si="6"/>
        <v>0</v>
      </c>
      <c r="N68" s="11">
        <v>-8852.77</v>
      </c>
      <c r="O68" s="92">
        <v>0</v>
      </c>
      <c r="P68" s="92"/>
      <c r="Q68" s="12" t="s">
        <v>164</v>
      </c>
      <c r="R68" s="13"/>
      <c r="S68" s="13"/>
      <c r="T68" s="13"/>
      <c r="U68" s="13"/>
    </row>
    <row r="69" spans="1:21" s="2" customFormat="1" ht="15.75" x14ac:dyDescent="0.25">
      <c r="A69" s="23"/>
      <c r="B69" s="22">
        <f t="shared" si="2"/>
        <v>65</v>
      </c>
      <c r="C69" s="89" t="s">
        <v>41</v>
      </c>
      <c r="D69" s="89" t="s">
        <v>31</v>
      </c>
      <c r="E69" s="89" t="s">
        <v>394</v>
      </c>
      <c r="F69" s="10">
        <v>43972</v>
      </c>
      <c r="G69" s="89" t="s">
        <v>165</v>
      </c>
      <c r="H69" s="22" t="s">
        <v>16</v>
      </c>
      <c r="I69" s="90">
        <v>9367.7099999999991</v>
      </c>
      <c r="J69" s="90">
        <v>4402.8500000000004</v>
      </c>
      <c r="K69" s="91">
        <f t="shared" si="5"/>
        <v>0.52999719248354182</v>
      </c>
      <c r="L69" s="90">
        <f>839.87+O69</f>
        <v>939.87</v>
      </c>
      <c r="M69" s="91">
        <f t="shared" si="6"/>
        <v>0.10033081724348855</v>
      </c>
      <c r="N69" s="11">
        <v>-198.49</v>
      </c>
      <c r="O69" s="92">
        <v>100</v>
      </c>
      <c r="P69" s="92"/>
      <c r="Q69" s="12"/>
      <c r="R69" s="13"/>
      <c r="S69" s="13"/>
      <c r="T69" s="13"/>
      <c r="U69" s="13"/>
    </row>
    <row r="70" spans="1:21" s="2" customFormat="1" ht="15.75" x14ac:dyDescent="0.25">
      <c r="A70" s="23"/>
      <c r="B70" s="22">
        <f t="shared" si="2"/>
        <v>66</v>
      </c>
      <c r="C70" s="89" t="s">
        <v>29</v>
      </c>
      <c r="D70" s="89" t="s">
        <v>26</v>
      </c>
      <c r="E70" s="89" t="s">
        <v>396</v>
      </c>
      <c r="F70" s="10">
        <v>43972</v>
      </c>
      <c r="G70" s="89" t="s">
        <v>166</v>
      </c>
      <c r="H70" s="22" t="s">
        <v>20</v>
      </c>
      <c r="I70" s="90">
        <v>9358.0499999999993</v>
      </c>
      <c r="J70" s="90">
        <v>5692.31</v>
      </c>
      <c r="K70" s="91">
        <f t="shared" si="5"/>
        <v>0.3917204973258317</v>
      </c>
      <c r="L70" s="90">
        <v>429.81</v>
      </c>
      <c r="M70" s="91">
        <f t="shared" si="6"/>
        <v>4.592944042829436E-2</v>
      </c>
      <c r="N70" s="11">
        <v>-998.75</v>
      </c>
      <c r="O70" s="92">
        <v>0</v>
      </c>
      <c r="P70" s="92"/>
      <c r="Q70" s="12"/>
      <c r="R70" s="13"/>
      <c r="S70" s="13"/>
      <c r="T70" s="13"/>
      <c r="U70" s="13"/>
    </row>
    <row r="71" spans="1:21" s="2" customFormat="1" ht="15.75" x14ac:dyDescent="0.25">
      <c r="A71" s="23"/>
      <c r="B71" s="22">
        <f t="shared" ref="B71:B134" si="7">B70+1</f>
        <v>67</v>
      </c>
      <c r="C71" s="89" t="s">
        <v>29</v>
      </c>
      <c r="D71" s="89" t="s">
        <v>39</v>
      </c>
      <c r="E71" s="89" t="s">
        <v>394</v>
      </c>
      <c r="F71" s="10">
        <v>43991</v>
      </c>
      <c r="G71" s="89" t="s">
        <v>167</v>
      </c>
      <c r="H71" s="22" t="s">
        <v>18</v>
      </c>
      <c r="I71" s="90">
        <v>12192.82</v>
      </c>
      <c r="J71" s="90">
        <v>6271.55</v>
      </c>
      <c r="K71" s="91">
        <f t="shared" si="5"/>
        <v>0.4856358086152342</v>
      </c>
      <c r="L71" s="90">
        <v>1221.6099999999999</v>
      </c>
      <c r="M71" s="91">
        <f t="shared" si="6"/>
        <v>0.10019093204033193</v>
      </c>
      <c r="N71" s="11">
        <v>127.62</v>
      </c>
      <c r="O71" s="92">
        <v>0</v>
      </c>
      <c r="P71" s="92"/>
      <c r="Q71" s="12"/>
      <c r="R71" s="13"/>
      <c r="S71" s="13"/>
      <c r="T71" s="13"/>
      <c r="U71" s="13"/>
    </row>
    <row r="72" spans="1:21" s="2" customFormat="1" ht="15.75" x14ac:dyDescent="0.25">
      <c r="A72" s="23"/>
      <c r="B72" s="22">
        <f t="shared" si="7"/>
        <v>68</v>
      </c>
      <c r="C72" s="89" t="s">
        <v>29</v>
      </c>
      <c r="D72" s="89" t="s">
        <v>52</v>
      </c>
      <c r="E72" s="89" t="s">
        <v>391</v>
      </c>
      <c r="F72" s="10">
        <v>43970</v>
      </c>
      <c r="G72" s="89" t="s">
        <v>168</v>
      </c>
      <c r="H72" s="22" t="s">
        <v>16</v>
      </c>
      <c r="I72" s="90">
        <v>9996.76</v>
      </c>
      <c r="J72" s="90">
        <f>5952.11+88.81</f>
        <v>6040.92</v>
      </c>
      <c r="K72" s="91">
        <f t="shared" si="5"/>
        <v>0.39571221075628504</v>
      </c>
      <c r="L72" s="90">
        <v>740.7</v>
      </c>
      <c r="M72" s="91">
        <f t="shared" si="6"/>
        <v>7.4094006458092429E-2</v>
      </c>
      <c r="N72" s="11">
        <v>-577.44000000000005</v>
      </c>
      <c r="O72" s="92">
        <v>0</v>
      </c>
      <c r="P72" s="92"/>
      <c r="Q72" s="12"/>
      <c r="R72" s="13"/>
      <c r="S72" s="13"/>
      <c r="T72" s="13"/>
      <c r="U72" s="13"/>
    </row>
    <row r="73" spans="1:21" s="2" customFormat="1" ht="15.75" x14ac:dyDescent="0.25">
      <c r="A73" s="23"/>
      <c r="B73" s="22">
        <f t="shared" si="7"/>
        <v>69</v>
      </c>
      <c r="C73" s="89" t="s">
        <v>29</v>
      </c>
      <c r="D73" s="89" t="s">
        <v>26</v>
      </c>
      <c r="E73" s="89" t="s">
        <v>396</v>
      </c>
      <c r="F73" s="10">
        <v>43981</v>
      </c>
      <c r="G73" s="89" t="s">
        <v>169</v>
      </c>
      <c r="H73" s="22" t="s">
        <v>20</v>
      </c>
      <c r="I73" s="90">
        <v>22062.57</v>
      </c>
      <c r="J73" s="90">
        <v>11522.49</v>
      </c>
      <c r="K73" s="91">
        <f t="shared" si="5"/>
        <v>0.47773582134810222</v>
      </c>
      <c r="L73" s="90">
        <v>1890.95</v>
      </c>
      <c r="M73" s="91">
        <f t="shared" si="6"/>
        <v>8.5708509933339588E-2</v>
      </c>
      <c r="N73" s="11">
        <v>-527.03</v>
      </c>
      <c r="O73" s="92">
        <v>0</v>
      </c>
      <c r="P73" s="92"/>
      <c r="Q73" s="12"/>
      <c r="R73" s="13"/>
      <c r="S73" s="13"/>
      <c r="T73" s="13"/>
      <c r="U73" s="13"/>
    </row>
    <row r="74" spans="1:21" s="2" customFormat="1" ht="15.75" x14ac:dyDescent="0.25">
      <c r="A74" s="23"/>
      <c r="B74" s="22">
        <f t="shared" si="7"/>
        <v>70</v>
      </c>
      <c r="C74" s="89" t="s">
        <v>41</v>
      </c>
      <c r="D74" s="89" t="s">
        <v>98</v>
      </c>
      <c r="E74" s="89" t="s">
        <v>396</v>
      </c>
      <c r="F74" s="10">
        <v>43958</v>
      </c>
      <c r="G74" s="89" t="s">
        <v>158</v>
      </c>
      <c r="H74" s="22" t="s">
        <v>20</v>
      </c>
      <c r="I74" s="90">
        <v>6551.36</v>
      </c>
      <c r="J74" s="90">
        <v>4012.36</v>
      </c>
      <c r="K74" s="91">
        <f t="shared" si="5"/>
        <v>0.38755311874175741</v>
      </c>
      <c r="L74" s="90">
        <v>0</v>
      </c>
      <c r="M74" s="91">
        <f t="shared" si="6"/>
        <v>0</v>
      </c>
      <c r="N74" s="11">
        <v>-158.13999999999999</v>
      </c>
      <c r="O74" s="92">
        <v>0</v>
      </c>
      <c r="P74" s="92"/>
      <c r="Q74" s="12" t="s">
        <v>164</v>
      </c>
      <c r="R74" s="13"/>
      <c r="S74" s="13"/>
      <c r="T74" s="13"/>
      <c r="U74" s="13"/>
    </row>
    <row r="75" spans="1:21" s="2" customFormat="1" ht="15.75" x14ac:dyDescent="0.25">
      <c r="A75" s="23"/>
      <c r="B75" s="22">
        <f t="shared" si="7"/>
        <v>71</v>
      </c>
      <c r="C75" s="89" t="s">
        <v>29</v>
      </c>
      <c r="D75" s="89" t="s">
        <v>39</v>
      </c>
      <c r="E75" s="89" t="s">
        <v>392</v>
      </c>
      <c r="F75" s="10">
        <v>43978</v>
      </c>
      <c r="G75" s="89" t="s">
        <v>170</v>
      </c>
      <c r="H75" s="22" t="s">
        <v>16</v>
      </c>
      <c r="I75" s="90">
        <v>7879.49</v>
      </c>
      <c r="J75" s="90">
        <v>3580.72</v>
      </c>
      <c r="K75" s="91">
        <f t="shared" si="5"/>
        <v>0.54556449719461542</v>
      </c>
      <c r="L75" s="90">
        <v>1156.1300000000001</v>
      </c>
      <c r="M75" s="91">
        <f t="shared" si="6"/>
        <v>0.14672650133447726</v>
      </c>
      <c r="N75" s="11">
        <v>964.19</v>
      </c>
      <c r="O75" s="92">
        <v>0</v>
      </c>
      <c r="P75" s="92"/>
      <c r="Q75" s="12"/>
      <c r="R75" s="13"/>
      <c r="S75" s="13"/>
      <c r="T75" s="13"/>
      <c r="U75" s="13"/>
    </row>
    <row r="76" spans="1:21" s="2" customFormat="1" ht="15.75" x14ac:dyDescent="0.25">
      <c r="A76" s="23"/>
      <c r="B76" s="22">
        <f t="shared" si="7"/>
        <v>72</v>
      </c>
      <c r="C76" s="89" t="s">
        <v>171</v>
      </c>
      <c r="D76" s="89" t="s">
        <v>98</v>
      </c>
      <c r="E76" s="89" t="s">
        <v>396</v>
      </c>
      <c r="F76" s="10">
        <v>43834</v>
      </c>
      <c r="G76" s="89" t="s">
        <v>172</v>
      </c>
      <c r="H76" s="22" t="s">
        <v>20</v>
      </c>
      <c r="I76" s="90">
        <v>19976.990000000002</v>
      </c>
      <c r="J76" s="90">
        <v>16307.18</v>
      </c>
      <c r="K76" s="91">
        <f t="shared" si="5"/>
        <v>0.18370184897724837</v>
      </c>
      <c r="L76" s="90">
        <v>1203.57</v>
      </c>
      <c r="M76" s="91">
        <f t="shared" si="6"/>
        <v>6.0247815111285526E-2</v>
      </c>
      <c r="N76" s="11">
        <v>-8550.81</v>
      </c>
      <c r="O76" s="92">
        <v>0</v>
      </c>
      <c r="P76" s="92"/>
      <c r="Q76" s="12" t="s">
        <v>144</v>
      </c>
      <c r="R76" s="13"/>
      <c r="S76" s="13"/>
      <c r="T76" s="13"/>
      <c r="U76" s="13"/>
    </row>
    <row r="77" spans="1:21" s="2" customFormat="1" ht="15.75" x14ac:dyDescent="0.25">
      <c r="A77" s="23"/>
      <c r="B77" s="22">
        <f t="shared" si="7"/>
        <v>73</v>
      </c>
      <c r="C77" s="89" t="s">
        <v>29</v>
      </c>
      <c r="D77" s="89" t="s">
        <v>52</v>
      </c>
      <c r="E77" s="89" t="s">
        <v>392</v>
      </c>
      <c r="F77" s="10">
        <v>43873</v>
      </c>
      <c r="G77" s="89" t="s">
        <v>173</v>
      </c>
      <c r="H77" s="22" t="s">
        <v>16</v>
      </c>
      <c r="I77" s="90">
        <v>10097.799999999999</v>
      </c>
      <c r="J77" s="90">
        <v>8866.1200000000008</v>
      </c>
      <c r="K77" s="91">
        <f t="shared" si="5"/>
        <v>0.12197508368159386</v>
      </c>
      <c r="L77" s="90">
        <v>488.13</v>
      </c>
      <c r="M77" s="91">
        <f t="shared" si="6"/>
        <v>4.8340232525896733E-2</v>
      </c>
      <c r="N77" s="11">
        <v>-1565.6</v>
      </c>
      <c r="O77" s="92">
        <v>133.99</v>
      </c>
      <c r="P77" s="92"/>
      <c r="Q77" s="12"/>
      <c r="R77" s="13"/>
      <c r="S77" s="13"/>
      <c r="T77" s="13"/>
      <c r="U77" s="13"/>
    </row>
    <row r="78" spans="1:21" s="2" customFormat="1" ht="15.75" x14ac:dyDescent="0.25">
      <c r="A78" s="23"/>
      <c r="B78" s="22">
        <f t="shared" si="7"/>
        <v>74</v>
      </c>
      <c r="C78" s="89" t="s">
        <v>29</v>
      </c>
      <c r="D78" s="89" t="s">
        <v>52</v>
      </c>
      <c r="E78" s="89" t="s">
        <v>392</v>
      </c>
      <c r="F78" s="10">
        <v>43979</v>
      </c>
      <c r="G78" s="89" t="s">
        <v>174</v>
      </c>
      <c r="H78" s="22" t="s">
        <v>16</v>
      </c>
      <c r="I78" s="90">
        <v>2295.25</v>
      </c>
      <c r="J78" s="90">
        <v>1345.5</v>
      </c>
      <c r="K78" s="91">
        <f t="shared" si="5"/>
        <v>0.41378934756562463</v>
      </c>
      <c r="L78" s="90">
        <v>163</v>
      </c>
      <c r="M78" s="91">
        <f t="shared" si="6"/>
        <v>7.1016229168935852E-2</v>
      </c>
      <c r="N78" s="11">
        <v>-122.55</v>
      </c>
      <c r="O78" s="92">
        <v>0</v>
      </c>
      <c r="P78" s="92"/>
      <c r="Q78" s="12"/>
      <c r="R78" s="13"/>
      <c r="S78" s="13"/>
      <c r="T78" s="13"/>
      <c r="U78" s="13"/>
    </row>
    <row r="79" spans="1:21" s="2" customFormat="1" ht="15.75" x14ac:dyDescent="0.25">
      <c r="A79" s="23"/>
      <c r="B79" s="22">
        <f t="shared" si="7"/>
        <v>75</v>
      </c>
      <c r="C79" s="89" t="s">
        <v>29</v>
      </c>
      <c r="D79" s="89" t="s">
        <v>26</v>
      </c>
      <c r="E79" s="89" t="s">
        <v>393</v>
      </c>
      <c r="F79" s="10">
        <v>43993</v>
      </c>
      <c r="G79" s="89" t="s">
        <v>176</v>
      </c>
      <c r="H79" s="22" t="s">
        <v>57</v>
      </c>
      <c r="I79" s="90">
        <v>3244.5</v>
      </c>
      <c r="J79" s="90">
        <v>1866.96</v>
      </c>
      <c r="K79" s="91">
        <f t="shared" si="5"/>
        <v>0.42457697642163661</v>
      </c>
      <c r="L79" s="90">
        <f>190.75+O79</f>
        <v>240.75</v>
      </c>
      <c r="M79" s="91">
        <f t="shared" si="6"/>
        <v>7.4202496532593615E-2</v>
      </c>
      <c r="N79" s="11">
        <v>-290.5</v>
      </c>
      <c r="O79" s="92">
        <v>50</v>
      </c>
      <c r="P79" s="92"/>
      <c r="Q79" s="12"/>
      <c r="R79" s="13"/>
      <c r="S79" s="13"/>
      <c r="T79" s="13"/>
      <c r="U79" s="13"/>
    </row>
    <row r="80" spans="1:21" s="2" customFormat="1" ht="15.75" x14ac:dyDescent="0.25">
      <c r="A80" s="23"/>
      <c r="B80" s="22">
        <f t="shared" si="7"/>
        <v>76</v>
      </c>
      <c r="C80" s="89" t="s">
        <v>177</v>
      </c>
      <c r="D80" s="89" t="s">
        <v>33</v>
      </c>
      <c r="E80" s="89" t="s">
        <v>393</v>
      </c>
      <c r="F80" s="10">
        <v>43979</v>
      </c>
      <c r="G80" s="89" t="s">
        <v>178</v>
      </c>
      <c r="H80" s="22" t="s">
        <v>19</v>
      </c>
      <c r="I80" s="90">
        <v>5618.8</v>
      </c>
      <c r="J80" s="90">
        <v>2577.4</v>
      </c>
      <c r="K80" s="91">
        <f t="shared" si="5"/>
        <v>0.54128995515056599</v>
      </c>
      <c r="L80" s="90">
        <v>773.94</v>
      </c>
      <c r="M80" s="91">
        <f t="shared" si="6"/>
        <v>0.13774115469495266</v>
      </c>
      <c r="N80" s="11">
        <v>591.4</v>
      </c>
      <c r="O80" s="92">
        <v>0</v>
      </c>
      <c r="P80" s="92"/>
      <c r="Q80" s="12"/>
      <c r="R80" s="13"/>
      <c r="S80" s="13"/>
      <c r="T80" s="13"/>
      <c r="U80" s="13"/>
    </row>
    <row r="81" spans="1:21" s="2" customFormat="1" ht="15.75" x14ac:dyDescent="0.25">
      <c r="A81" s="23"/>
      <c r="B81" s="22">
        <f t="shared" si="7"/>
        <v>77</v>
      </c>
      <c r="C81" s="89" t="s">
        <v>41</v>
      </c>
      <c r="D81" s="89" t="s">
        <v>52</v>
      </c>
      <c r="E81" s="89" t="s">
        <v>179</v>
      </c>
      <c r="F81" s="10">
        <v>43969</v>
      </c>
      <c r="G81" s="89" t="s">
        <v>180</v>
      </c>
      <c r="H81" s="22" t="s">
        <v>13</v>
      </c>
      <c r="I81" s="90">
        <v>3749.74</v>
      </c>
      <c r="J81" s="90">
        <v>3053.48</v>
      </c>
      <c r="K81" s="91">
        <f>(I81-J81)/I81</f>
        <v>0.18568220729970605</v>
      </c>
      <c r="L81" s="90">
        <v>0</v>
      </c>
      <c r="M81" s="91">
        <f>L81/I81</f>
        <v>0</v>
      </c>
      <c r="N81" s="11">
        <v>-3071.18</v>
      </c>
      <c r="O81" s="92">
        <v>358.13</v>
      </c>
      <c r="P81" s="92"/>
      <c r="Q81" s="12"/>
      <c r="R81" s="13"/>
      <c r="S81" s="13"/>
      <c r="T81" s="13"/>
      <c r="U81" s="13"/>
    </row>
    <row r="82" spans="1:21" s="2" customFormat="1" ht="15.75" x14ac:dyDescent="0.25">
      <c r="A82" s="23"/>
      <c r="B82" s="22">
        <f t="shared" si="7"/>
        <v>78</v>
      </c>
      <c r="C82" s="89" t="s">
        <v>41</v>
      </c>
      <c r="D82" s="89" t="s">
        <v>39</v>
      </c>
      <c r="E82" s="89" t="s">
        <v>391</v>
      </c>
      <c r="F82" s="10">
        <v>43941</v>
      </c>
      <c r="G82" s="89" t="s">
        <v>37</v>
      </c>
      <c r="H82" s="22" t="s">
        <v>18</v>
      </c>
      <c r="I82" s="90">
        <v>23679.63</v>
      </c>
      <c r="J82" s="90">
        <v>9618.73</v>
      </c>
      <c r="K82" s="91">
        <f>(I82-J82)/I82</f>
        <v>0.59379728483933236</v>
      </c>
      <c r="L82" s="90">
        <v>2678.77</v>
      </c>
      <c r="M82" s="91">
        <f>L82/I82</f>
        <v>0.11312550069405644</v>
      </c>
      <c r="N82" s="11">
        <v>1631.03</v>
      </c>
      <c r="O82" s="92">
        <v>0</v>
      </c>
      <c r="P82" s="92"/>
      <c r="Q82" s="12"/>
      <c r="R82" s="13"/>
      <c r="S82" s="13"/>
      <c r="T82" s="13"/>
      <c r="U82" s="13"/>
    </row>
    <row r="83" spans="1:21" s="2" customFormat="1" ht="15.75" x14ac:dyDescent="0.25">
      <c r="A83" s="23"/>
      <c r="B83" s="22">
        <f t="shared" si="7"/>
        <v>79</v>
      </c>
      <c r="C83" s="89" t="s">
        <v>29</v>
      </c>
      <c r="D83" s="89" t="s">
        <v>26</v>
      </c>
      <c r="E83" s="89" t="s">
        <v>393</v>
      </c>
      <c r="F83" s="10">
        <v>43956</v>
      </c>
      <c r="G83" s="89" t="s">
        <v>181</v>
      </c>
      <c r="H83" s="22" t="s">
        <v>14</v>
      </c>
      <c r="I83" s="90">
        <v>8695.25</v>
      </c>
      <c r="J83" s="90">
        <v>3929.52</v>
      </c>
      <c r="K83" s="91">
        <f>(I83-J83)/I83</f>
        <v>0.54808429889882404</v>
      </c>
      <c r="L83" s="90">
        <v>933.58</v>
      </c>
      <c r="M83" s="91">
        <f>L83/I83</f>
        <v>0.10736666570828901</v>
      </c>
      <c r="N83" s="11">
        <v>419.15</v>
      </c>
      <c r="O83" s="92">
        <v>0</v>
      </c>
      <c r="P83" s="92"/>
      <c r="Q83" s="12"/>
      <c r="R83" s="13"/>
      <c r="S83" s="13"/>
      <c r="T83" s="13"/>
      <c r="U83" s="13"/>
    </row>
    <row r="84" spans="1:21" s="2" customFormat="1" ht="15.75" x14ac:dyDescent="0.25">
      <c r="A84" s="23"/>
      <c r="B84" s="22">
        <f t="shared" si="7"/>
        <v>80</v>
      </c>
      <c r="C84" s="89" t="s">
        <v>41</v>
      </c>
      <c r="D84" s="89" t="s">
        <v>33</v>
      </c>
      <c r="E84" s="89" t="s">
        <v>395</v>
      </c>
      <c r="F84" s="10">
        <v>43986</v>
      </c>
      <c r="G84" s="89" t="s">
        <v>182</v>
      </c>
      <c r="H84" s="22" t="s">
        <v>30</v>
      </c>
      <c r="I84" s="90">
        <v>8357.52</v>
      </c>
      <c r="J84" s="90">
        <v>3668.33</v>
      </c>
      <c r="K84" s="91">
        <f t="shared" si="5"/>
        <v>0.5610743378418479</v>
      </c>
      <c r="L84" s="90">
        <f>687.72+O84</f>
        <v>787.72</v>
      </c>
      <c r="M84" s="91">
        <f t="shared" si="6"/>
        <v>9.425284055557151E-2</v>
      </c>
      <c r="N84" s="11">
        <v>-265.08</v>
      </c>
      <c r="O84" s="92">
        <v>100</v>
      </c>
      <c r="P84" s="92"/>
      <c r="Q84" s="12"/>
      <c r="R84" s="13"/>
      <c r="S84" s="13"/>
      <c r="T84" s="13"/>
      <c r="U84" s="13"/>
    </row>
    <row r="85" spans="1:21" s="2" customFormat="1" ht="15.75" x14ac:dyDescent="0.25">
      <c r="A85" s="23"/>
      <c r="B85" s="22">
        <f t="shared" si="7"/>
        <v>81</v>
      </c>
      <c r="C85" s="89" t="s">
        <v>29</v>
      </c>
      <c r="D85" s="89" t="s">
        <v>52</v>
      </c>
      <c r="E85" s="89" t="s">
        <v>391</v>
      </c>
      <c r="F85" s="10">
        <v>43966</v>
      </c>
      <c r="G85" s="89" t="s">
        <v>183</v>
      </c>
      <c r="H85" s="22" t="s">
        <v>16</v>
      </c>
      <c r="I85" s="90">
        <v>8757.36</v>
      </c>
      <c r="J85" s="90">
        <v>6128.45</v>
      </c>
      <c r="K85" s="91">
        <f t="shared" si="5"/>
        <v>0.30019435080891965</v>
      </c>
      <c r="L85" s="90">
        <v>112.32</v>
      </c>
      <c r="M85" s="91">
        <f t="shared" si="6"/>
        <v>1.2825783112718901E-2</v>
      </c>
      <c r="N85" s="11">
        <v>-1838.54</v>
      </c>
      <c r="O85" s="92">
        <v>0</v>
      </c>
      <c r="P85" s="92"/>
      <c r="Q85" s="12"/>
      <c r="R85" s="13"/>
      <c r="S85" s="13"/>
      <c r="T85" s="13"/>
      <c r="U85" s="13"/>
    </row>
    <row r="86" spans="1:21" s="2" customFormat="1" ht="15.75" x14ac:dyDescent="0.25">
      <c r="A86" s="23"/>
      <c r="B86" s="22">
        <f t="shared" si="7"/>
        <v>82</v>
      </c>
      <c r="C86" s="89" t="s">
        <v>29</v>
      </c>
      <c r="D86" s="89" t="s">
        <v>52</v>
      </c>
      <c r="E86" s="89" t="s">
        <v>396</v>
      </c>
      <c r="F86" s="10">
        <v>44011</v>
      </c>
      <c r="G86" s="89" t="s">
        <v>184</v>
      </c>
      <c r="H86" s="22" t="s">
        <v>20</v>
      </c>
      <c r="I86" s="90">
        <v>2174.7399999999998</v>
      </c>
      <c r="J86" s="90">
        <v>1721.41</v>
      </c>
      <c r="K86" s="91">
        <f t="shared" si="5"/>
        <v>0.20845250466722448</v>
      </c>
      <c r="L86" s="90">
        <v>124.17</v>
      </c>
      <c r="M86" s="91">
        <f t="shared" si="6"/>
        <v>5.7096480498818256E-2</v>
      </c>
      <c r="N86" s="11">
        <v>-1779.56</v>
      </c>
      <c r="O86" s="92">
        <v>636.02</v>
      </c>
      <c r="P86" s="92"/>
      <c r="Q86" s="12"/>
      <c r="R86" s="13"/>
      <c r="S86" s="13"/>
      <c r="T86" s="13"/>
      <c r="U86" s="13"/>
    </row>
    <row r="87" spans="1:21" s="2" customFormat="1" ht="15.75" x14ac:dyDescent="0.25">
      <c r="A87" s="23"/>
      <c r="B87" s="22">
        <f t="shared" si="7"/>
        <v>83</v>
      </c>
      <c r="C87" s="89" t="s">
        <v>29</v>
      </c>
      <c r="D87" s="89" t="s">
        <v>33</v>
      </c>
      <c r="E87" s="89" t="s">
        <v>108</v>
      </c>
      <c r="F87" s="10">
        <v>43963</v>
      </c>
      <c r="G87" s="89" t="s">
        <v>185</v>
      </c>
      <c r="H87" s="22" t="s">
        <v>14</v>
      </c>
      <c r="I87" s="90">
        <v>26278.2</v>
      </c>
      <c r="J87" s="90">
        <v>14325.65</v>
      </c>
      <c r="K87" s="91">
        <f t="shared" si="5"/>
        <v>0.45484660288756462</v>
      </c>
      <c r="L87" s="90">
        <v>1863.6</v>
      </c>
      <c r="M87" s="91">
        <f t="shared" si="6"/>
        <v>7.0918099413201818E-2</v>
      </c>
      <c r="N87" s="11">
        <v>-808.8</v>
      </c>
      <c r="O87" s="92">
        <v>0</v>
      </c>
      <c r="P87" s="92"/>
      <c r="Q87" s="12"/>
      <c r="R87" s="13"/>
      <c r="S87" s="13"/>
      <c r="T87" s="13"/>
      <c r="U87" s="13"/>
    </row>
    <row r="88" spans="1:21" s="2" customFormat="1" ht="15.75" x14ac:dyDescent="0.25">
      <c r="A88" s="23"/>
      <c r="B88" s="22">
        <f t="shared" si="7"/>
        <v>84</v>
      </c>
      <c r="C88" s="89" t="s">
        <v>138</v>
      </c>
      <c r="D88" s="89" t="s">
        <v>52</v>
      </c>
      <c r="E88" s="89" t="s">
        <v>392</v>
      </c>
      <c r="F88" s="10">
        <v>43957</v>
      </c>
      <c r="G88" s="89" t="s">
        <v>186</v>
      </c>
      <c r="H88" s="22" t="s">
        <v>16</v>
      </c>
      <c r="I88" s="90">
        <v>12457.47</v>
      </c>
      <c r="J88" s="90">
        <v>6002.99</v>
      </c>
      <c r="K88" s="91">
        <f t="shared" si="5"/>
        <v>0.51812125576059986</v>
      </c>
      <c r="L88" s="90">
        <f>232.61+638.05+O88</f>
        <v>1070.6599999999999</v>
      </c>
      <c r="M88" s="91">
        <f t="shared" si="6"/>
        <v>8.5945220016584417E-2</v>
      </c>
      <c r="N88" s="11">
        <v>-722.83</v>
      </c>
      <c r="O88" s="92">
        <v>200</v>
      </c>
      <c r="P88" s="92"/>
      <c r="Q88" s="12"/>
      <c r="R88" s="13"/>
      <c r="S88" s="13"/>
      <c r="T88" s="13"/>
      <c r="U88" s="13"/>
    </row>
    <row r="89" spans="1:21" s="2" customFormat="1" ht="15.75" x14ac:dyDescent="0.25">
      <c r="A89" s="23"/>
      <c r="B89" s="22">
        <f t="shared" si="7"/>
        <v>85</v>
      </c>
      <c r="C89" s="89" t="s">
        <v>29</v>
      </c>
      <c r="D89" s="89" t="s">
        <v>52</v>
      </c>
      <c r="E89" s="89" t="s">
        <v>394</v>
      </c>
      <c r="F89" s="10">
        <v>43902</v>
      </c>
      <c r="G89" s="89" t="s">
        <v>187</v>
      </c>
      <c r="H89" s="22" t="s">
        <v>390</v>
      </c>
      <c r="I89" s="90">
        <v>34526.07</v>
      </c>
      <c r="J89" s="90">
        <v>19948.560000000001</v>
      </c>
      <c r="K89" s="91">
        <f t="shared" si="5"/>
        <v>0.42221747218840716</v>
      </c>
      <c r="L89" s="90">
        <f>1380.01+110.21+O89</f>
        <v>1790.22</v>
      </c>
      <c r="M89" s="91">
        <f t="shared" si="6"/>
        <v>5.1851253270354836E-2</v>
      </c>
      <c r="N89" s="11">
        <v>-4480.7299999999996</v>
      </c>
      <c r="O89" s="92">
        <v>300</v>
      </c>
      <c r="P89" s="92"/>
      <c r="Q89" s="12"/>
      <c r="R89" s="13"/>
      <c r="S89" s="13"/>
      <c r="T89" s="13"/>
      <c r="U89" s="13"/>
    </row>
    <row r="90" spans="1:21" s="2" customFormat="1" ht="15.75" x14ac:dyDescent="0.25">
      <c r="A90" s="23"/>
      <c r="B90" s="22">
        <f t="shared" si="7"/>
        <v>86</v>
      </c>
      <c r="C90" s="89" t="s">
        <v>29</v>
      </c>
      <c r="D90" s="89" t="s">
        <v>188</v>
      </c>
      <c r="E90" s="89" t="s">
        <v>394</v>
      </c>
      <c r="F90" s="10">
        <v>43952</v>
      </c>
      <c r="G90" s="89" t="s">
        <v>189</v>
      </c>
      <c r="H90" s="22" t="s">
        <v>18</v>
      </c>
      <c r="I90" s="90">
        <v>1500</v>
      </c>
      <c r="J90" s="90">
        <v>1198</v>
      </c>
      <c r="K90" s="91">
        <f t="shared" si="5"/>
        <v>0.20133333333333334</v>
      </c>
      <c r="L90" s="90">
        <v>0</v>
      </c>
      <c r="M90" s="91">
        <f t="shared" si="6"/>
        <v>0</v>
      </c>
      <c r="N90" s="11">
        <v>0</v>
      </c>
      <c r="O90" s="92">
        <v>0</v>
      </c>
      <c r="P90" s="92"/>
      <c r="Q90" s="12"/>
      <c r="R90" s="13"/>
      <c r="S90" s="13"/>
      <c r="T90" s="13"/>
      <c r="U90" s="13"/>
    </row>
    <row r="91" spans="1:21" s="2" customFormat="1" ht="15.75" x14ac:dyDescent="0.25">
      <c r="A91" s="23"/>
      <c r="B91" s="22">
        <f t="shared" si="7"/>
        <v>87</v>
      </c>
      <c r="C91" s="89" t="s">
        <v>38</v>
      </c>
      <c r="D91" s="89" t="s">
        <v>26</v>
      </c>
      <c r="E91" s="89" t="s">
        <v>393</v>
      </c>
      <c r="F91" s="10">
        <v>43875</v>
      </c>
      <c r="G91" s="89" t="s">
        <v>190</v>
      </c>
      <c r="H91" s="22" t="s">
        <v>59</v>
      </c>
      <c r="I91" s="90">
        <v>17418.900000000001</v>
      </c>
      <c r="J91" s="90">
        <v>7569.35</v>
      </c>
      <c r="K91" s="91">
        <f>(I91-J91)/I91</f>
        <v>0.56545189420686726</v>
      </c>
      <c r="L91" s="90">
        <v>2066.2399999999998</v>
      </c>
      <c r="M91" s="91">
        <f>L91/I91</f>
        <v>0.11862057879659448</v>
      </c>
      <c r="N91" s="11">
        <v>1297.2</v>
      </c>
      <c r="O91" s="92">
        <v>0</v>
      </c>
      <c r="P91" s="92"/>
      <c r="Q91" s="12"/>
      <c r="R91" s="13"/>
      <c r="S91" s="13"/>
      <c r="T91" s="13"/>
      <c r="U91" s="13"/>
    </row>
    <row r="92" spans="1:21" s="2" customFormat="1" ht="15.75" x14ac:dyDescent="0.25">
      <c r="A92" s="23"/>
      <c r="B92" s="22">
        <f t="shared" si="7"/>
        <v>88</v>
      </c>
      <c r="C92" s="89" t="s">
        <v>41</v>
      </c>
      <c r="D92" s="89" t="s">
        <v>26</v>
      </c>
      <c r="E92" s="89" t="s">
        <v>395</v>
      </c>
      <c r="F92" s="10">
        <v>43966</v>
      </c>
      <c r="G92" s="89" t="s">
        <v>191</v>
      </c>
      <c r="H92" s="22" t="s">
        <v>19</v>
      </c>
      <c r="I92" s="90">
        <v>9007.5400000000009</v>
      </c>
      <c r="J92" s="90">
        <v>4222.84</v>
      </c>
      <c r="K92" s="91">
        <f>(I92-J92)/I92</f>
        <v>0.53118831556673629</v>
      </c>
      <c r="L92" s="90">
        <v>1074.23</v>
      </c>
      <c r="M92" s="91">
        <f>L92/I92</f>
        <v>0.11925897636868667</v>
      </c>
      <c r="N92" s="11">
        <v>728.44</v>
      </c>
      <c r="O92" s="92">
        <v>0</v>
      </c>
      <c r="P92" s="92"/>
      <c r="Q92" s="12"/>
      <c r="R92" s="13"/>
      <c r="S92" s="13"/>
      <c r="T92" s="13"/>
      <c r="U92" s="13"/>
    </row>
    <row r="93" spans="1:21" s="2" customFormat="1" ht="15.75" x14ac:dyDescent="0.25">
      <c r="A93" s="23"/>
      <c r="B93" s="22">
        <f t="shared" si="7"/>
        <v>89</v>
      </c>
      <c r="C93" s="89" t="s">
        <v>29</v>
      </c>
      <c r="D93" s="89" t="s">
        <v>26</v>
      </c>
      <c r="E93" s="89" t="s">
        <v>393</v>
      </c>
      <c r="F93" s="10">
        <v>43993</v>
      </c>
      <c r="G93" s="89" t="s">
        <v>192</v>
      </c>
      <c r="H93" s="22" t="s">
        <v>14</v>
      </c>
      <c r="I93" s="90">
        <v>15944.38</v>
      </c>
      <c r="J93" s="90">
        <v>7793.37</v>
      </c>
      <c r="K93" s="91">
        <f t="shared" ref="K93:K149" si="8">(I93-J93)/I93</f>
        <v>0.51121523696750826</v>
      </c>
      <c r="L93" s="90">
        <v>1731.69</v>
      </c>
      <c r="M93" s="91">
        <f t="shared" ref="M93:M155" si="9">L93/I93</f>
        <v>0.10860817416544263</v>
      </c>
      <c r="N93" s="11">
        <v>806.88</v>
      </c>
      <c r="O93" s="92">
        <v>0</v>
      </c>
      <c r="P93" s="92"/>
      <c r="Q93" s="12"/>
      <c r="R93" s="13"/>
      <c r="S93" s="13"/>
      <c r="T93" s="13"/>
      <c r="U93" s="13"/>
    </row>
    <row r="94" spans="1:21" s="2" customFormat="1" ht="15.75" x14ac:dyDescent="0.25">
      <c r="A94" s="23"/>
      <c r="B94" s="22">
        <f t="shared" si="7"/>
        <v>90</v>
      </c>
      <c r="C94" s="89" t="s">
        <v>29</v>
      </c>
      <c r="D94" s="89" t="s">
        <v>26</v>
      </c>
      <c r="E94" s="89" t="s">
        <v>395</v>
      </c>
      <c r="F94" s="10">
        <v>43964</v>
      </c>
      <c r="G94" s="89" t="s">
        <v>193</v>
      </c>
      <c r="H94" s="22" t="s">
        <v>57</v>
      </c>
      <c r="I94" s="90">
        <v>13997.63</v>
      </c>
      <c r="J94" s="90">
        <v>6078.91</v>
      </c>
      <c r="K94" s="91">
        <f t="shared" si="8"/>
        <v>0.56571862522441296</v>
      </c>
      <c r="L94" s="90">
        <f>1291.01+O94</f>
        <v>1491.01</v>
      </c>
      <c r="M94" s="91">
        <f t="shared" si="9"/>
        <v>0.10651874638778136</v>
      </c>
      <c r="N94" s="11">
        <v>410.68</v>
      </c>
      <c r="O94" s="92">
        <v>200</v>
      </c>
      <c r="P94" s="92"/>
      <c r="Q94" s="12"/>
      <c r="R94" s="13"/>
      <c r="S94" s="13"/>
      <c r="T94" s="13"/>
      <c r="U94" s="13"/>
    </row>
    <row r="95" spans="1:21" s="2" customFormat="1" ht="15.75" x14ac:dyDescent="0.25">
      <c r="A95" s="23"/>
      <c r="B95" s="22">
        <f t="shared" si="7"/>
        <v>91</v>
      </c>
      <c r="C95" s="89" t="s">
        <v>29</v>
      </c>
      <c r="D95" s="89" t="s">
        <v>52</v>
      </c>
      <c r="E95" s="89" t="s">
        <v>391</v>
      </c>
      <c r="F95" s="10">
        <v>43882</v>
      </c>
      <c r="G95" s="89" t="s">
        <v>194</v>
      </c>
      <c r="H95" s="22" t="s">
        <v>16</v>
      </c>
      <c r="I95" s="90">
        <v>13013.21</v>
      </c>
      <c r="J95" s="90">
        <f>9174.87</f>
        <v>9174.8700000000008</v>
      </c>
      <c r="K95" s="91">
        <f t="shared" si="8"/>
        <v>0.29495720118249058</v>
      </c>
      <c r="L95" s="90">
        <v>426.4</v>
      </c>
      <c r="M95" s="91">
        <f t="shared" si="9"/>
        <v>3.2766703987717097E-2</v>
      </c>
      <c r="N95" s="11">
        <v>2026.29</v>
      </c>
      <c r="O95" s="92">
        <v>0</v>
      </c>
      <c r="P95" s="92"/>
      <c r="Q95" s="12"/>
      <c r="R95" s="13"/>
      <c r="S95" s="13"/>
      <c r="T95" s="13"/>
      <c r="U95" s="13"/>
    </row>
    <row r="96" spans="1:21" s="2" customFormat="1" ht="15.75" x14ac:dyDescent="0.25">
      <c r="A96" s="23"/>
      <c r="B96" s="22">
        <f t="shared" si="7"/>
        <v>92</v>
      </c>
      <c r="C96" s="89" t="s">
        <v>29</v>
      </c>
      <c r="D96" s="89" t="s">
        <v>52</v>
      </c>
      <c r="E96" s="89" t="s">
        <v>396</v>
      </c>
      <c r="F96" s="10">
        <v>44008</v>
      </c>
      <c r="G96" s="89" t="s">
        <v>195</v>
      </c>
      <c r="H96" s="22" t="s">
        <v>13</v>
      </c>
      <c r="I96" s="90">
        <v>2781</v>
      </c>
      <c r="J96" s="90">
        <v>1551.75</v>
      </c>
      <c r="K96" s="91">
        <f t="shared" si="8"/>
        <v>0.442017259978425</v>
      </c>
      <c r="L96" s="90">
        <f>154.36+36.36</f>
        <v>190.72000000000003</v>
      </c>
      <c r="M96" s="91">
        <f t="shared" si="9"/>
        <v>6.857964760877383E-2</v>
      </c>
      <c r="N96" s="11">
        <v>-299.7</v>
      </c>
      <c r="O96" s="92">
        <v>50</v>
      </c>
      <c r="P96" s="92"/>
      <c r="Q96" s="12"/>
      <c r="R96" s="13"/>
      <c r="S96" s="13"/>
      <c r="T96" s="13"/>
      <c r="U96" s="13"/>
    </row>
    <row r="97" spans="1:21" s="2" customFormat="1" ht="15.75" x14ac:dyDescent="0.25">
      <c r="A97" s="23"/>
      <c r="B97" s="22">
        <f t="shared" si="7"/>
        <v>93</v>
      </c>
      <c r="C97" s="89" t="s">
        <v>41</v>
      </c>
      <c r="D97" s="89" t="s">
        <v>26</v>
      </c>
      <c r="E97" s="89" t="s">
        <v>88</v>
      </c>
      <c r="F97" s="10">
        <v>44029</v>
      </c>
      <c r="G97" s="89" t="s">
        <v>196</v>
      </c>
      <c r="H97" s="22" t="s">
        <v>13</v>
      </c>
      <c r="I97" s="90">
        <v>645.39</v>
      </c>
      <c r="J97" s="90">
        <v>113.4</v>
      </c>
      <c r="K97" s="91">
        <f t="shared" si="8"/>
        <v>0.824292288383768</v>
      </c>
      <c r="L97" s="90">
        <v>89.63</v>
      </c>
      <c r="M97" s="91">
        <f t="shared" si="9"/>
        <v>0.13887726800849098</v>
      </c>
      <c r="N97" s="11">
        <v>87.77</v>
      </c>
      <c r="O97" s="92">
        <v>0</v>
      </c>
      <c r="P97" s="92"/>
      <c r="Q97" s="12"/>
      <c r="R97" s="13"/>
      <c r="S97" s="13"/>
      <c r="T97" s="13"/>
      <c r="U97" s="13"/>
    </row>
    <row r="98" spans="1:21" s="2" customFormat="1" ht="15.75" x14ac:dyDescent="0.25">
      <c r="A98" s="23"/>
      <c r="B98" s="22">
        <f t="shared" si="7"/>
        <v>94</v>
      </c>
      <c r="C98" s="89" t="s">
        <v>152</v>
      </c>
      <c r="D98" s="89" t="s">
        <v>31</v>
      </c>
      <c r="E98" s="89" t="s">
        <v>396</v>
      </c>
      <c r="F98" s="10">
        <v>44005</v>
      </c>
      <c r="G98" s="89" t="s">
        <v>184</v>
      </c>
      <c r="H98" s="22" t="s">
        <v>13</v>
      </c>
      <c r="I98" s="90">
        <v>9155.19</v>
      </c>
      <c r="J98" s="90">
        <v>5016.6099999999997</v>
      </c>
      <c r="K98" s="91">
        <f t="shared" si="8"/>
        <v>0.45204741791268127</v>
      </c>
      <c r="L98" s="90">
        <f>662.07+90.39</f>
        <v>752.46</v>
      </c>
      <c r="M98" s="91">
        <f t="shared" si="9"/>
        <v>8.218944664174091E-2</v>
      </c>
      <c r="N98" s="11">
        <v>-239.51</v>
      </c>
      <c r="O98" s="92">
        <v>50</v>
      </c>
      <c r="P98" s="92"/>
      <c r="Q98" s="12"/>
      <c r="R98" s="13"/>
      <c r="S98" s="13"/>
      <c r="T98" s="13"/>
      <c r="U98" s="13"/>
    </row>
    <row r="99" spans="1:21" s="2" customFormat="1" ht="15.75" x14ac:dyDescent="0.25">
      <c r="A99" s="23"/>
      <c r="B99" s="22">
        <f t="shared" si="7"/>
        <v>95</v>
      </c>
      <c r="C99" s="89" t="s">
        <v>29</v>
      </c>
      <c r="D99" s="89" t="s">
        <v>26</v>
      </c>
      <c r="E99" s="89" t="s">
        <v>395</v>
      </c>
      <c r="F99" s="10">
        <v>43994</v>
      </c>
      <c r="G99" s="89" t="s">
        <v>197</v>
      </c>
      <c r="H99" s="22" t="s">
        <v>19</v>
      </c>
      <c r="I99" s="90">
        <v>5561.99</v>
      </c>
      <c r="J99" s="90">
        <v>2498.94</v>
      </c>
      <c r="K99" s="91">
        <f t="shared" si="8"/>
        <v>0.55071116632715988</v>
      </c>
      <c r="L99" s="90">
        <f>572.01+O99</f>
        <v>622.01</v>
      </c>
      <c r="M99" s="91">
        <f t="shared" si="9"/>
        <v>0.11183227585810115</v>
      </c>
      <c r="N99" s="11">
        <v>144.52000000000001</v>
      </c>
      <c r="O99" s="92">
        <v>50</v>
      </c>
      <c r="P99" s="92"/>
      <c r="Q99" s="12"/>
      <c r="R99" s="13"/>
      <c r="S99" s="13"/>
      <c r="T99" s="13"/>
      <c r="U99" s="13"/>
    </row>
    <row r="100" spans="1:21" s="2" customFormat="1" ht="15.75" x14ac:dyDescent="0.25">
      <c r="A100" s="23"/>
      <c r="B100" s="22">
        <f t="shared" si="7"/>
        <v>96</v>
      </c>
      <c r="C100" s="89" t="s">
        <v>41</v>
      </c>
      <c r="D100" s="89" t="s">
        <v>33</v>
      </c>
      <c r="E100" s="89" t="s">
        <v>395</v>
      </c>
      <c r="F100" s="10">
        <v>43995</v>
      </c>
      <c r="G100" s="89" t="s">
        <v>198</v>
      </c>
      <c r="H100" s="22" t="s">
        <v>30</v>
      </c>
      <c r="I100" s="90">
        <v>7428.9</v>
      </c>
      <c r="J100" s="90">
        <v>2906.71</v>
      </c>
      <c r="K100" s="91">
        <f t="shared" si="8"/>
        <v>0.60872942158327614</v>
      </c>
      <c r="L100" s="90">
        <f>208.94+508.93</f>
        <v>717.87</v>
      </c>
      <c r="M100" s="91">
        <f t="shared" si="9"/>
        <v>9.6632072042967337E-2</v>
      </c>
      <c r="N100" s="11">
        <v>-555.29999999999995</v>
      </c>
      <c r="O100" s="92">
        <v>300</v>
      </c>
      <c r="P100" s="92"/>
      <c r="Q100" s="12"/>
      <c r="R100" s="13"/>
      <c r="S100" s="13"/>
      <c r="T100" s="13"/>
      <c r="U100" s="13"/>
    </row>
    <row r="101" spans="1:21" s="2" customFormat="1" ht="15.75" x14ac:dyDescent="0.25">
      <c r="A101" s="23"/>
      <c r="B101" s="22">
        <f t="shared" si="7"/>
        <v>97</v>
      </c>
      <c r="C101" s="89" t="s">
        <v>29</v>
      </c>
      <c r="D101" s="89" t="s">
        <v>52</v>
      </c>
      <c r="E101" s="89" t="s">
        <v>391</v>
      </c>
      <c r="F101" s="10">
        <v>43993</v>
      </c>
      <c r="G101" s="89" t="s">
        <v>199</v>
      </c>
      <c r="H101" s="22" t="s">
        <v>16</v>
      </c>
      <c r="I101" s="90">
        <v>6355.5</v>
      </c>
      <c r="J101" s="90">
        <v>3284.49</v>
      </c>
      <c r="K101" s="91">
        <f t="shared" si="8"/>
        <v>0.48320509794666039</v>
      </c>
      <c r="L101" s="90">
        <v>538.16</v>
      </c>
      <c r="M101" s="91">
        <f t="shared" si="9"/>
        <v>8.4676264652663036E-2</v>
      </c>
      <c r="N101" s="11">
        <v>-5.4</v>
      </c>
      <c r="O101" s="92">
        <v>0</v>
      </c>
      <c r="P101" s="92"/>
      <c r="Q101" s="12"/>
      <c r="R101" s="13"/>
      <c r="S101" s="13"/>
      <c r="T101" s="13"/>
      <c r="U101" s="13"/>
    </row>
    <row r="102" spans="1:21" s="2" customFormat="1" ht="15.75" x14ac:dyDescent="0.25">
      <c r="A102" s="23"/>
      <c r="B102" s="22">
        <f t="shared" si="7"/>
        <v>98</v>
      </c>
      <c r="C102" s="89" t="s">
        <v>29</v>
      </c>
      <c r="D102" s="89" t="s">
        <v>52</v>
      </c>
      <c r="E102" s="89" t="s">
        <v>392</v>
      </c>
      <c r="F102" s="10">
        <v>44023</v>
      </c>
      <c r="G102" s="89" t="s">
        <v>200</v>
      </c>
      <c r="H102" s="22" t="s">
        <v>16</v>
      </c>
      <c r="I102" s="90">
        <v>10328.620000000001</v>
      </c>
      <c r="J102" s="90">
        <v>5489.1</v>
      </c>
      <c r="K102" s="91">
        <f t="shared" si="8"/>
        <v>0.46855436641100168</v>
      </c>
      <c r="L102" s="90">
        <f>201.5+655.87</f>
        <v>857.37</v>
      </c>
      <c r="M102" s="91">
        <f t="shared" si="9"/>
        <v>8.300915320730165E-2</v>
      </c>
      <c r="N102" s="11">
        <v>-1258.48</v>
      </c>
      <c r="O102" s="92">
        <v>400</v>
      </c>
      <c r="P102" s="92"/>
      <c r="Q102" s="12"/>
      <c r="R102" s="13"/>
      <c r="S102" s="13"/>
      <c r="T102" s="13"/>
      <c r="U102" s="13"/>
    </row>
    <row r="103" spans="1:21" s="2" customFormat="1" ht="15.75" x14ac:dyDescent="0.25">
      <c r="A103" s="23"/>
      <c r="B103" s="22">
        <f t="shared" si="7"/>
        <v>99</v>
      </c>
      <c r="C103" s="89" t="s">
        <v>41</v>
      </c>
      <c r="D103" s="89" t="s">
        <v>39</v>
      </c>
      <c r="E103" s="89" t="s">
        <v>391</v>
      </c>
      <c r="F103" s="10">
        <v>44027</v>
      </c>
      <c r="G103" s="89" t="s">
        <v>201</v>
      </c>
      <c r="H103" s="22" t="s">
        <v>16</v>
      </c>
      <c r="I103" s="90">
        <v>13846.31</v>
      </c>
      <c r="J103" s="90">
        <v>5387.5</v>
      </c>
      <c r="K103" s="91">
        <f t="shared" si="8"/>
        <v>0.61090716588029592</v>
      </c>
      <c r="L103" s="90">
        <v>2074.0100000000002</v>
      </c>
      <c r="M103" s="91">
        <f t="shared" si="9"/>
        <v>0.14978792183621487</v>
      </c>
      <c r="N103" s="11">
        <v>1942.53</v>
      </c>
      <c r="O103" s="92">
        <v>0</v>
      </c>
      <c r="P103" s="92"/>
      <c r="Q103" s="12"/>
      <c r="R103" s="13"/>
      <c r="S103" s="13"/>
      <c r="T103" s="13"/>
      <c r="U103" s="13"/>
    </row>
    <row r="104" spans="1:21" s="2" customFormat="1" ht="15.75" x14ac:dyDescent="0.25">
      <c r="A104" s="23"/>
      <c r="B104" s="22">
        <f t="shared" si="7"/>
        <v>100</v>
      </c>
      <c r="C104" s="89" t="s">
        <v>29</v>
      </c>
      <c r="D104" s="89" t="s">
        <v>31</v>
      </c>
      <c r="E104" s="89" t="s">
        <v>393</v>
      </c>
      <c r="F104" s="10">
        <v>43992</v>
      </c>
      <c r="G104" s="89" t="s">
        <v>202</v>
      </c>
      <c r="H104" s="22" t="s">
        <v>14</v>
      </c>
      <c r="I104" s="90">
        <v>8769.41</v>
      </c>
      <c r="J104" s="90">
        <v>4497.8</v>
      </c>
      <c r="K104" s="91">
        <f t="shared" si="8"/>
        <v>0.48710346534145393</v>
      </c>
      <c r="L104" s="90">
        <f>686.65+44.55</f>
        <v>731.19999999999993</v>
      </c>
      <c r="M104" s="91">
        <f t="shared" si="9"/>
        <v>8.3380751954806528E-2</v>
      </c>
      <c r="N104" s="11">
        <v>54.41</v>
      </c>
      <c r="O104" s="92">
        <v>200</v>
      </c>
      <c r="P104" s="92"/>
      <c r="Q104" s="12"/>
      <c r="R104" s="13"/>
      <c r="S104" s="13"/>
      <c r="T104" s="13"/>
      <c r="U104" s="13"/>
    </row>
    <row r="105" spans="1:21" s="2" customFormat="1" ht="15.75" x14ac:dyDescent="0.25">
      <c r="A105" s="23"/>
      <c r="B105" s="22">
        <f t="shared" si="7"/>
        <v>101</v>
      </c>
      <c r="C105" s="89" t="s">
        <v>29</v>
      </c>
      <c r="D105" s="89" t="s">
        <v>26</v>
      </c>
      <c r="E105" s="89" t="s">
        <v>203</v>
      </c>
      <c r="F105" s="10">
        <v>44004</v>
      </c>
      <c r="G105" s="89" t="s">
        <v>204</v>
      </c>
      <c r="H105" s="22" t="s">
        <v>58</v>
      </c>
      <c r="I105" s="90">
        <v>13256.08</v>
      </c>
      <c r="J105" s="90">
        <f>6104.42+50</f>
        <v>6154.42</v>
      </c>
      <c r="K105" s="91">
        <f t="shared" si="8"/>
        <v>0.5357285109926917</v>
      </c>
      <c r="L105" s="90">
        <f>1031.54+O105</f>
        <v>1231.54</v>
      </c>
      <c r="M105" s="91">
        <f t="shared" si="9"/>
        <v>9.2903784527552644E-2</v>
      </c>
      <c r="N105" s="11">
        <v>236.08</v>
      </c>
      <c r="O105" s="92">
        <v>200</v>
      </c>
      <c r="P105" s="92"/>
      <c r="Q105" s="12"/>
      <c r="R105" s="13"/>
      <c r="S105" s="13"/>
      <c r="T105" s="13"/>
      <c r="U105" s="13"/>
    </row>
    <row r="106" spans="1:21" s="2" customFormat="1" ht="15.75" x14ac:dyDescent="0.25">
      <c r="A106" s="23"/>
      <c r="B106" s="22">
        <f t="shared" si="7"/>
        <v>102</v>
      </c>
      <c r="C106" s="89" t="s">
        <v>35</v>
      </c>
      <c r="D106" s="89" t="s">
        <v>26</v>
      </c>
      <c r="E106" s="89" t="s">
        <v>393</v>
      </c>
      <c r="F106" s="10">
        <v>43986</v>
      </c>
      <c r="G106" s="89" t="s">
        <v>205</v>
      </c>
      <c r="H106" s="22" t="s">
        <v>58</v>
      </c>
      <c r="I106" s="90">
        <v>27621.84</v>
      </c>
      <c r="J106" s="90">
        <v>10092.870000000001</v>
      </c>
      <c r="K106" s="91">
        <f t="shared" si="8"/>
        <v>0.6346054426497294</v>
      </c>
      <c r="L106" s="90">
        <f>3165.74+O106</f>
        <v>3265.74</v>
      </c>
      <c r="M106" s="91">
        <f t="shared" si="9"/>
        <v>0.11823035684805935</v>
      </c>
      <c r="N106" s="11">
        <v>1332.64</v>
      </c>
      <c r="O106" s="92">
        <v>100</v>
      </c>
      <c r="P106" s="92"/>
      <c r="Q106" s="12"/>
      <c r="R106" s="13"/>
      <c r="S106" s="13"/>
      <c r="T106" s="13"/>
      <c r="U106" s="13"/>
    </row>
    <row r="107" spans="1:21" s="2" customFormat="1" ht="15.75" x14ac:dyDescent="0.25">
      <c r="A107" s="23"/>
      <c r="B107" s="22">
        <f t="shared" si="7"/>
        <v>103</v>
      </c>
      <c r="C107" s="89" t="s">
        <v>41</v>
      </c>
      <c r="D107" s="89" t="s">
        <v>26</v>
      </c>
      <c r="E107" s="89" t="s">
        <v>395</v>
      </c>
      <c r="F107" s="10">
        <v>43980</v>
      </c>
      <c r="G107" s="89" t="s">
        <v>206</v>
      </c>
      <c r="H107" s="22" t="s">
        <v>19</v>
      </c>
      <c r="I107" s="90">
        <v>7585.61</v>
      </c>
      <c r="J107" s="90">
        <v>3660.61</v>
      </c>
      <c r="K107" s="91">
        <f t="shared" si="8"/>
        <v>0.51742707573945923</v>
      </c>
      <c r="L107" s="90">
        <f>656.8+O107</f>
        <v>756.8</v>
      </c>
      <c r="M107" s="91">
        <f t="shared" si="9"/>
        <v>9.9767849915827461E-2</v>
      </c>
      <c r="N107" s="11">
        <v>53.61</v>
      </c>
      <c r="O107" s="92">
        <v>100</v>
      </c>
      <c r="P107" s="92"/>
      <c r="Q107" s="12"/>
      <c r="R107" s="13"/>
      <c r="S107" s="13"/>
      <c r="T107" s="13"/>
      <c r="U107" s="13"/>
    </row>
    <row r="108" spans="1:21" s="2" customFormat="1" ht="15.75" x14ac:dyDescent="0.25">
      <c r="A108" s="23"/>
      <c r="B108" s="22">
        <f t="shared" si="7"/>
        <v>104</v>
      </c>
      <c r="C108" s="89" t="s">
        <v>29</v>
      </c>
      <c r="D108" s="89" t="s">
        <v>33</v>
      </c>
      <c r="E108" s="89" t="s">
        <v>395</v>
      </c>
      <c r="F108" s="10">
        <v>44007</v>
      </c>
      <c r="G108" s="89" t="s">
        <v>207</v>
      </c>
      <c r="H108" s="22" t="s">
        <v>30</v>
      </c>
      <c r="I108" s="90">
        <v>10799.35</v>
      </c>
      <c r="J108" s="90">
        <v>4696.13</v>
      </c>
      <c r="K108" s="91">
        <f t="shared" si="8"/>
        <v>0.56514697643839673</v>
      </c>
      <c r="L108" s="90">
        <v>1017.19</v>
      </c>
      <c r="M108" s="91">
        <f t="shared" si="9"/>
        <v>9.4189928097524384E-2</v>
      </c>
      <c r="N108" s="11">
        <v>122.95</v>
      </c>
      <c r="O108" s="92">
        <v>0</v>
      </c>
      <c r="P108" s="92"/>
      <c r="Q108" s="12"/>
      <c r="R108" s="13"/>
      <c r="S108" s="13"/>
      <c r="T108" s="13"/>
      <c r="U108" s="13"/>
    </row>
    <row r="109" spans="1:21" s="2" customFormat="1" ht="15.75" x14ac:dyDescent="0.25">
      <c r="A109" s="23"/>
      <c r="B109" s="22">
        <f t="shared" si="7"/>
        <v>105</v>
      </c>
      <c r="C109" s="89" t="s">
        <v>208</v>
      </c>
      <c r="D109" s="89" t="s">
        <v>39</v>
      </c>
      <c r="E109" s="89" t="s">
        <v>392</v>
      </c>
      <c r="F109" s="10">
        <v>43999</v>
      </c>
      <c r="G109" s="89" t="s">
        <v>209</v>
      </c>
      <c r="H109" s="22" t="s">
        <v>16</v>
      </c>
      <c r="I109" s="90">
        <v>12947.98</v>
      </c>
      <c r="J109" s="90">
        <v>6411.21</v>
      </c>
      <c r="K109" s="91">
        <f t="shared" si="8"/>
        <v>0.5048486327597046</v>
      </c>
      <c r="L109" s="90">
        <f>933.7+O109</f>
        <v>1233.7</v>
      </c>
      <c r="M109" s="91">
        <f t="shared" si="9"/>
        <v>9.5281271673264875E-2</v>
      </c>
      <c r="N109" s="11">
        <v>-687.32</v>
      </c>
      <c r="O109" s="92">
        <v>300</v>
      </c>
      <c r="P109" s="92"/>
      <c r="Q109" s="12"/>
      <c r="R109" s="13"/>
      <c r="S109" s="13"/>
      <c r="T109" s="13"/>
      <c r="U109" s="13"/>
    </row>
    <row r="110" spans="1:21" s="2" customFormat="1" ht="15.75" x14ac:dyDescent="0.25">
      <c r="A110" s="23"/>
      <c r="B110" s="22">
        <f t="shared" si="7"/>
        <v>106</v>
      </c>
      <c r="C110" s="89" t="s">
        <v>41</v>
      </c>
      <c r="D110" s="89" t="s">
        <v>52</v>
      </c>
      <c r="E110" s="89" t="s">
        <v>396</v>
      </c>
      <c r="F110" s="10">
        <v>44005</v>
      </c>
      <c r="G110" s="89" t="s">
        <v>210</v>
      </c>
      <c r="H110" s="22" t="s">
        <v>13</v>
      </c>
      <c r="I110" s="90">
        <v>2441.3200000000002</v>
      </c>
      <c r="J110" s="90">
        <v>1371.85</v>
      </c>
      <c r="K110" s="91">
        <f t="shared" si="8"/>
        <v>0.43807038815067267</v>
      </c>
      <c r="L110" s="90">
        <v>189.98</v>
      </c>
      <c r="M110" s="91">
        <f t="shared" si="9"/>
        <v>7.7818557173987835E-2</v>
      </c>
      <c r="N110" s="11">
        <v>-940.38</v>
      </c>
      <c r="O110" s="92">
        <v>350</v>
      </c>
      <c r="P110" s="92"/>
      <c r="Q110" s="12"/>
      <c r="R110" s="13"/>
      <c r="S110" s="13"/>
      <c r="T110" s="13"/>
      <c r="U110" s="13"/>
    </row>
    <row r="111" spans="1:21" s="2" customFormat="1" ht="15.75" x14ac:dyDescent="0.25">
      <c r="A111" s="23"/>
      <c r="B111" s="22">
        <f t="shared" si="7"/>
        <v>107</v>
      </c>
      <c r="C111" s="89" t="s">
        <v>29</v>
      </c>
      <c r="D111" s="89" t="s">
        <v>39</v>
      </c>
      <c r="E111" s="89" t="s">
        <v>391</v>
      </c>
      <c r="F111" s="10">
        <v>43986</v>
      </c>
      <c r="G111" s="89" t="s">
        <v>211</v>
      </c>
      <c r="H111" s="22" t="s">
        <v>18</v>
      </c>
      <c r="I111" s="90">
        <v>21450.75</v>
      </c>
      <c r="J111" s="90">
        <v>7920.25</v>
      </c>
      <c r="K111" s="91">
        <f t="shared" si="8"/>
        <v>0.63077048588044704</v>
      </c>
      <c r="L111" s="90">
        <f>2949.22+O111</f>
        <v>3049.22</v>
      </c>
      <c r="M111" s="91">
        <f t="shared" si="9"/>
        <v>0.14214980828176171</v>
      </c>
      <c r="N111" s="11">
        <v>2185.35</v>
      </c>
      <c r="O111" s="92">
        <v>100</v>
      </c>
      <c r="P111" s="92"/>
      <c r="Q111" s="12"/>
      <c r="R111" s="13"/>
      <c r="S111" s="13"/>
      <c r="T111" s="13"/>
      <c r="U111" s="13"/>
    </row>
    <row r="112" spans="1:21" s="2" customFormat="1" ht="15.75" x14ac:dyDescent="0.25">
      <c r="A112" s="23"/>
      <c r="B112" s="22">
        <f t="shared" si="7"/>
        <v>108</v>
      </c>
      <c r="C112" s="89" t="s">
        <v>45</v>
      </c>
      <c r="D112" s="89" t="s">
        <v>52</v>
      </c>
      <c r="E112" s="89" t="s">
        <v>392</v>
      </c>
      <c r="F112" s="10">
        <v>44020</v>
      </c>
      <c r="G112" s="89" t="s">
        <v>50</v>
      </c>
      <c r="H112" s="22" t="s">
        <v>16</v>
      </c>
      <c r="I112" s="90">
        <v>8949.6200000000008</v>
      </c>
      <c r="J112" s="90">
        <v>4374.68</v>
      </c>
      <c r="K112" s="91">
        <f t="shared" si="8"/>
        <v>0.51118818452627035</v>
      </c>
      <c r="L112" s="90">
        <f>807.23+O112</f>
        <v>857.23</v>
      </c>
      <c r="M112" s="91">
        <f t="shared" si="9"/>
        <v>9.5783955072952814E-2</v>
      </c>
      <c r="N112" s="11">
        <v>-175.58</v>
      </c>
      <c r="O112" s="92">
        <v>50</v>
      </c>
      <c r="P112" s="92"/>
      <c r="Q112" s="12"/>
      <c r="R112" s="13"/>
      <c r="S112" s="13"/>
      <c r="T112" s="13"/>
      <c r="U112" s="13"/>
    </row>
    <row r="113" spans="1:21" s="2" customFormat="1" ht="15.75" x14ac:dyDescent="0.25">
      <c r="A113" s="23"/>
      <c r="B113" s="22">
        <f t="shared" si="7"/>
        <v>109</v>
      </c>
      <c r="C113" s="89" t="s">
        <v>29</v>
      </c>
      <c r="D113" s="89" t="s">
        <v>33</v>
      </c>
      <c r="E113" s="89" t="s">
        <v>392</v>
      </c>
      <c r="F113" s="10">
        <v>44011</v>
      </c>
      <c r="G113" s="89" t="s">
        <v>212</v>
      </c>
      <c r="H113" s="22" t="s">
        <v>16</v>
      </c>
      <c r="I113" s="90">
        <v>10955.14</v>
      </c>
      <c r="J113" s="90">
        <f>4674.71-75.41</f>
        <v>4599.3</v>
      </c>
      <c r="K113" s="91">
        <f t="shared" si="8"/>
        <v>0.5801696737787011</v>
      </c>
      <c r="L113" s="90">
        <v>1420.23</v>
      </c>
      <c r="M113" s="91">
        <f t="shared" si="9"/>
        <v>0.12964051577615623</v>
      </c>
      <c r="N113" s="11">
        <v>992.04</v>
      </c>
      <c r="O113" s="92">
        <v>0</v>
      </c>
      <c r="P113" s="92"/>
      <c r="Q113" s="12"/>
      <c r="R113" s="13"/>
      <c r="S113" s="13"/>
      <c r="T113" s="13"/>
      <c r="U113" s="13"/>
    </row>
    <row r="114" spans="1:21" s="2" customFormat="1" ht="15.75" x14ac:dyDescent="0.25">
      <c r="A114" s="23"/>
      <c r="B114" s="22">
        <f t="shared" si="7"/>
        <v>110</v>
      </c>
      <c r="C114" s="89" t="s">
        <v>38</v>
      </c>
      <c r="D114" s="89" t="s">
        <v>33</v>
      </c>
      <c r="E114" s="89" t="s">
        <v>395</v>
      </c>
      <c r="F114" s="10">
        <v>43978</v>
      </c>
      <c r="G114" s="89" t="s">
        <v>213</v>
      </c>
      <c r="H114" s="22" t="s">
        <v>19</v>
      </c>
      <c r="I114" s="90">
        <v>8603.0300000000007</v>
      </c>
      <c r="J114" s="90">
        <v>3796.65</v>
      </c>
      <c r="K114" s="91">
        <f t="shared" si="8"/>
        <v>0.55868455648765614</v>
      </c>
      <c r="L114" s="90">
        <f>910.72+O114</f>
        <v>960.72</v>
      </c>
      <c r="M114" s="91">
        <f t="shared" si="9"/>
        <v>0.11167228290497649</v>
      </c>
      <c r="N114" s="11">
        <v>336.03</v>
      </c>
      <c r="O114" s="92">
        <v>50</v>
      </c>
      <c r="P114" s="92"/>
      <c r="Q114" s="12"/>
      <c r="R114" s="13"/>
      <c r="S114" s="13"/>
      <c r="T114" s="13"/>
      <c r="U114" s="13"/>
    </row>
    <row r="115" spans="1:21" s="2" customFormat="1" ht="15.75" x14ac:dyDescent="0.25">
      <c r="A115" s="23"/>
      <c r="B115" s="22">
        <f t="shared" si="7"/>
        <v>111</v>
      </c>
      <c r="C115" s="89" t="s">
        <v>29</v>
      </c>
      <c r="D115" s="89" t="s">
        <v>31</v>
      </c>
      <c r="E115" s="89" t="s">
        <v>392</v>
      </c>
      <c r="F115" s="10">
        <v>44019</v>
      </c>
      <c r="G115" s="89" t="s">
        <v>214</v>
      </c>
      <c r="H115" s="22" t="s">
        <v>16</v>
      </c>
      <c r="I115" s="90">
        <v>5954.11</v>
      </c>
      <c r="J115" s="90">
        <v>2901.77</v>
      </c>
      <c r="K115" s="91">
        <f t="shared" si="8"/>
        <v>0.51264420711071845</v>
      </c>
      <c r="L115" s="90">
        <f>538.56+O115</f>
        <v>588.55999999999995</v>
      </c>
      <c r="M115" s="91">
        <f t="shared" si="9"/>
        <v>9.8849366236095734E-2</v>
      </c>
      <c r="N115" s="11">
        <v>-238.37</v>
      </c>
      <c r="O115" s="92">
        <v>50</v>
      </c>
      <c r="P115" s="92"/>
      <c r="Q115" s="12" t="s">
        <v>215</v>
      </c>
      <c r="R115" s="13"/>
      <c r="S115" s="13"/>
      <c r="T115" s="13"/>
      <c r="U115" s="13"/>
    </row>
    <row r="116" spans="1:21" s="2" customFormat="1" ht="15.75" x14ac:dyDescent="0.25">
      <c r="A116" s="23"/>
      <c r="B116" s="22">
        <f t="shared" si="7"/>
        <v>112</v>
      </c>
      <c r="C116" s="89" t="s">
        <v>29</v>
      </c>
      <c r="D116" s="89" t="s">
        <v>52</v>
      </c>
      <c r="E116" s="89" t="s">
        <v>391</v>
      </c>
      <c r="F116" s="10">
        <v>43860</v>
      </c>
      <c r="G116" s="89" t="s">
        <v>216</v>
      </c>
      <c r="H116" s="22" t="s">
        <v>390</v>
      </c>
      <c r="I116" s="90">
        <v>23303.82</v>
      </c>
      <c r="J116" s="90">
        <v>10825.51</v>
      </c>
      <c r="K116" s="91">
        <f t="shared" si="8"/>
        <v>0.53546199721762355</v>
      </c>
      <c r="L116" s="90">
        <f>1403.8+400+O116</f>
        <v>1903.8</v>
      </c>
      <c r="M116" s="91">
        <f t="shared" si="9"/>
        <v>8.1694760773126471E-2</v>
      </c>
      <c r="N116" s="11">
        <v>64.72</v>
      </c>
      <c r="O116" s="92">
        <v>100</v>
      </c>
      <c r="P116" s="92"/>
      <c r="Q116" s="12" t="s">
        <v>217</v>
      </c>
      <c r="R116" s="13"/>
      <c r="S116" s="13"/>
      <c r="T116" s="13"/>
      <c r="U116" s="13"/>
    </row>
    <row r="117" spans="1:21" s="2" customFormat="1" ht="15.75" x14ac:dyDescent="0.25">
      <c r="A117" s="23"/>
      <c r="B117" s="22">
        <f t="shared" si="7"/>
        <v>113</v>
      </c>
      <c r="C117" s="89" t="s">
        <v>41</v>
      </c>
      <c r="D117" s="89" t="s">
        <v>39</v>
      </c>
      <c r="E117" s="89" t="s">
        <v>391</v>
      </c>
      <c r="F117" s="10">
        <v>43923</v>
      </c>
      <c r="G117" s="89" t="s">
        <v>218</v>
      </c>
      <c r="H117" s="22" t="s">
        <v>18</v>
      </c>
      <c r="I117" s="90">
        <v>31795.7</v>
      </c>
      <c r="J117" s="90">
        <v>14132.66</v>
      </c>
      <c r="K117" s="91">
        <f t="shared" si="8"/>
        <v>0.55551662646206879</v>
      </c>
      <c r="L117" s="90">
        <f>3080.89+O117</f>
        <v>3280.89</v>
      </c>
      <c r="M117" s="91">
        <f t="shared" si="9"/>
        <v>0.10318659441371002</v>
      </c>
      <c r="N117" s="11">
        <v>302.81</v>
      </c>
      <c r="O117" s="92">
        <v>200</v>
      </c>
      <c r="P117" s="92"/>
      <c r="Q117" s="12"/>
      <c r="R117" s="13"/>
      <c r="S117" s="13"/>
      <c r="T117" s="13"/>
      <c r="U117" s="13"/>
    </row>
    <row r="118" spans="1:21" s="2" customFormat="1" ht="15.75" x14ac:dyDescent="0.25">
      <c r="A118" s="23"/>
      <c r="B118" s="22">
        <f t="shared" si="7"/>
        <v>114</v>
      </c>
      <c r="C118" s="89" t="s">
        <v>41</v>
      </c>
      <c r="D118" s="89" t="s">
        <v>39</v>
      </c>
      <c r="E118" s="89" t="s">
        <v>391</v>
      </c>
      <c r="F118" s="10">
        <v>43980</v>
      </c>
      <c r="G118" s="89" t="s">
        <v>131</v>
      </c>
      <c r="H118" s="22" t="s">
        <v>16</v>
      </c>
      <c r="I118" s="90">
        <v>10446.9</v>
      </c>
      <c r="J118" s="90">
        <f>4422.27</f>
        <v>4422.2700000000004</v>
      </c>
      <c r="K118" s="91">
        <f t="shared" si="8"/>
        <v>0.57669069293283171</v>
      </c>
      <c r="L118" s="90">
        <v>1086.8</v>
      </c>
      <c r="M118" s="91">
        <f t="shared" si="9"/>
        <v>0.10403086082952838</v>
      </c>
      <c r="N118" s="11">
        <v>182.1</v>
      </c>
      <c r="O118" s="92">
        <v>0</v>
      </c>
      <c r="P118" s="92"/>
      <c r="Q118" s="12" t="s">
        <v>219</v>
      </c>
      <c r="R118" s="13"/>
      <c r="S118" s="13"/>
      <c r="T118" s="13"/>
      <c r="U118" s="13"/>
    </row>
    <row r="119" spans="1:21" s="2" customFormat="1" ht="15.75" x14ac:dyDescent="0.25">
      <c r="A119" s="23"/>
      <c r="B119" s="22">
        <f t="shared" si="7"/>
        <v>115</v>
      </c>
      <c r="C119" s="89" t="s">
        <v>29</v>
      </c>
      <c r="D119" s="89" t="s">
        <v>39</v>
      </c>
      <c r="E119" s="89" t="s">
        <v>391</v>
      </c>
      <c r="F119" s="10">
        <v>44055</v>
      </c>
      <c r="G119" s="89" t="s">
        <v>95</v>
      </c>
      <c r="H119" s="22" t="s">
        <v>16</v>
      </c>
      <c r="I119" s="90">
        <v>7295.48</v>
      </c>
      <c r="J119" s="90">
        <v>3406.69</v>
      </c>
      <c r="K119" s="91">
        <f t="shared" si="8"/>
        <v>0.53304100621206552</v>
      </c>
      <c r="L119" s="90">
        <v>722.86</v>
      </c>
      <c r="M119" s="91">
        <f t="shared" si="9"/>
        <v>9.9083267996074295E-2</v>
      </c>
      <c r="N119" s="11">
        <v>49.78</v>
      </c>
      <c r="O119" s="92">
        <v>0</v>
      </c>
      <c r="P119" s="92"/>
      <c r="Q119" s="12"/>
      <c r="R119" s="13"/>
      <c r="S119" s="13"/>
      <c r="T119" s="13"/>
      <c r="U119" s="13"/>
    </row>
    <row r="120" spans="1:21" s="2" customFormat="1" ht="15.75" x14ac:dyDescent="0.25">
      <c r="A120" s="23"/>
      <c r="B120" s="22">
        <f t="shared" si="7"/>
        <v>116</v>
      </c>
      <c r="C120" s="89" t="s">
        <v>81</v>
      </c>
      <c r="D120" s="89" t="s">
        <v>31</v>
      </c>
      <c r="E120" s="89" t="s">
        <v>396</v>
      </c>
      <c r="F120" s="10">
        <v>44044</v>
      </c>
      <c r="G120" s="89" t="s">
        <v>44</v>
      </c>
      <c r="H120" s="22" t="s">
        <v>13</v>
      </c>
      <c r="I120" s="90">
        <v>5970.85</v>
      </c>
      <c r="J120" s="90">
        <v>2628.75</v>
      </c>
      <c r="K120" s="91">
        <f t="shared" si="8"/>
        <v>0.55973605098101609</v>
      </c>
      <c r="L120" s="90">
        <f>627.96+O120</f>
        <v>677.96</v>
      </c>
      <c r="M120" s="91">
        <f t="shared" si="9"/>
        <v>0.11354497265883416</v>
      </c>
      <c r="N120" s="11">
        <v>138.44999999999999</v>
      </c>
      <c r="O120" s="92">
        <v>50</v>
      </c>
      <c r="P120" s="92"/>
      <c r="Q120" s="12"/>
      <c r="R120" s="13"/>
      <c r="S120" s="13"/>
      <c r="T120" s="13"/>
      <c r="U120" s="13"/>
    </row>
    <row r="121" spans="1:21" s="2" customFormat="1" ht="15.75" x14ac:dyDescent="0.25">
      <c r="A121" s="23"/>
      <c r="B121" s="22">
        <f t="shared" si="7"/>
        <v>117</v>
      </c>
      <c r="C121" s="89" t="s">
        <v>29</v>
      </c>
      <c r="D121" s="89" t="s">
        <v>26</v>
      </c>
      <c r="E121" s="89" t="s">
        <v>395</v>
      </c>
      <c r="F121" s="10">
        <v>44007</v>
      </c>
      <c r="G121" s="89" t="s">
        <v>165</v>
      </c>
      <c r="H121" s="22" t="s">
        <v>30</v>
      </c>
      <c r="I121" s="90">
        <v>11949.02</v>
      </c>
      <c r="J121" s="90">
        <v>4010.68</v>
      </c>
      <c r="K121" s="91">
        <f t="shared" si="8"/>
        <v>0.66435071662780709</v>
      </c>
      <c r="L121" s="90">
        <f>1641.51+O121</f>
        <v>1641.51</v>
      </c>
      <c r="M121" s="91">
        <f t="shared" si="9"/>
        <v>0.13737611954787923</v>
      </c>
      <c r="N121" s="11">
        <v>1323.02</v>
      </c>
      <c r="O121" s="92">
        <v>0</v>
      </c>
      <c r="P121" s="92"/>
      <c r="Q121" s="12"/>
      <c r="R121" s="13"/>
      <c r="S121" s="13"/>
      <c r="T121" s="13"/>
      <c r="U121" s="13"/>
    </row>
    <row r="122" spans="1:21" s="2" customFormat="1" ht="15.75" x14ac:dyDescent="0.25">
      <c r="A122" s="23"/>
      <c r="B122" s="22">
        <f t="shared" si="7"/>
        <v>118</v>
      </c>
      <c r="C122" s="89" t="s">
        <v>41</v>
      </c>
      <c r="D122" s="89" t="s">
        <v>26</v>
      </c>
      <c r="E122" s="89" t="s">
        <v>395</v>
      </c>
      <c r="F122" s="10">
        <v>43980</v>
      </c>
      <c r="G122" s="89" t="s">
        <v>220</v>
      </c>
      <c r="H122" s="22" t="s">
        <v>30</v>
      </c>
      <c r="I122" s="90">
        <v>6500.29</v>
      </c>
      <c r="J122" s="90">
        <v>3184.88</v>
      </c>
      <c r="K122" s="91">
        <f>(I122-J122)/I122</f>
        <v>0.51004032127797372</v>
      </c>
      <c r="L122" s="90">
        <f>531.35+O122</f>
        <v>631.35</v>
      </c>
      <c r="M122" s="91">
        <f>L122/I122</f>
        <v>9.7126435897475341E-2</v>
      </c>
      <c r="N122" s="11">
        <v>-191.71</v>
      </c>
      <c r="O122" s="92">
        <v>100</v>
      </c>
      <c r="P122" s="92"/>
      <c r="Q122" s="12"/>
      <c r="R122" s="13"/>
      <c r="S122" s="13"/>
      <c r="T122" s="13"/>
      <c r="U122" s="13"/>
    </row>
    <row r="123" spans="1:21" s="2" customFormat="1" ht="15.75" x14ac:dyDescent="0.25">
      <c r="A123" s="23"/>
      <c r="B123" s="22">
        <f t="shared" si="7"/>
        <v>119</v>
      </c>
      <c r="C123" s="89" t="s">
        <v>29</v>
      </c>
      <c r="D123" s="89" t="s">
        <v>31</v>
      </c>
      <c r="E123" s="89" t="s">
        <v>395</v>
      </c>
      <c r="F123" s="10">
        <v>44022</v>
      </c>
      <c r="G123" s="89" t="s">
        <v>221</v>
      </c>
      <c r="H123" s="22" t="s">
        <v>14</v>
      </c>
      <c r="I123" s="90">
        <v>8013.96</v>
      </c>
      <c r="J123" s="90">
        <f>3490.98+60+50</f>
        <v>3600.98</v>
      </c>
      <c r="K123" s="91">
        <f>(I123-J123)/I123</f>
        <v>0.55066159551582483</v>
      </c>
      <c r="L123" s="90">
        <f>649.78+O123</f>
        <v>849.78</v>
      </c>
      <c r="M123" s="91">
        <f>L123/I123</f>
        <v>0.10603746462423071</v>
      </c>
      <c r="N123" s="11">
        <v>89.96</v>
      </c>
      <c r="O123" s="92">
        <v>200</v>
      </c>
      <c r="P123" s="92"/>
      <c r="Q123" s="12"/>
      <c r="R123" s="13"/>
      <c r="S123" s="13"/>
      <c r="T123" s="13"/>
      <c r="U123" s="13"/>
    </row>
    <row r="124" spans="1:21" s="2" customFormat="1" ht="15.75" x14ac:dyDescent="0.25">
      <c r="A124" s="23"/>
      <c r="B124" s="22">
        <f t="shared" si="7"/>
        <v>120</v>
      </c>
      <c r="C124" s="89" t="s">
        <v>29</v>
      </c>
      <c r="D124" s="89" t="s">
        <v>26</v>
      </c>
      <c r="E124" s="89" t="s">
        <v>396</v>
      </c>
      <c r="F124" s="10">
        <v>44036</v>
      </c>
      <c r="G124" s="89" t="s">
        <v>222</v>
      </c>
      <c r="H124" s="22" t="s">
        <v>223</v>
      </c>
      <c r="I124" s="90">
        <v>3596.76</v>
      </c>
      <c r="J124" s="90">
        <v>2083.63</v>
      </c>
      <c r="K124" s="91">
        <f>(I124-J124)/I124</f>
        <v>0.42069251214982373</v>
      </c>
      <c r="L124" s="90">
        <v>317.31</v>
      </c>
      <c r="M124" s="91">
        <f>L124/I124</f>
        <v>8.8221065625729816E-2</v>
      </c>
      <c r="N124" s="11">
        <v>127.59</v>
      </c>
      <c r="O124" s="92">
        <v>0</v>
      </c>
      <c r="P124" s="92"/>
      <c r="Q124" s="12"/>
      <c r="R124" s="13"/>
      <c r="S124" s="13"/>
      <c r="T124" s="13"/>
      <c r="U124" s="13"/>
    </row>
    <row r="125" spans="1:21" s="2" customFormat="1" ht="15.75" x14ac:dyDescent="0.25">
      <c r="A125" s="23"/>
      <c r="B125" s="22">
        <f t="shared" si="7"/>
        <v>121</v>
      </c>
      <c r="C125" s="89" t="s">
        <v>41</v>
      </c>
      <c r="D125" s="89" t="s">
        <v>39</v>
      </c>
      <c r="E125" s="89" t="s">
        <v>391</v>
      </c>
      <c r="F125" s="10">
        <v>44028</v>
      </c>
      <c r="G125" s="89" t="s">
        <v>224</v>
      </c>
      <c r="H125" s="22" t="s">
        <v>18</v>
      </c>
      <c r="I125" s="90">
        <v>11306.44</v>
      </c>
      <c r="J125" s="90">
        <v>4387.3999999999996</v>
      </c>
      <c r="K125" s="91">
        <f>(I125-J125)/I125</f>
        <v>0.61195566420553249</v>
      </c>
      <c r="L125" s="90">
        <f>1242.8+O125</f>
        <v>1442.8</v>
      </c>
      <c r="M125" s="91">
        <f>L125/I125</f>
        <v>0.1276086902685549</v>
      </c>
      <c r="N125" s="11">
        <v>513.14</v>
      </c>
      <c r="O125" s="92">
        <v>200</v>
      </c>
      <c r="P125" s="92"/>
      <c r="Q125" s="12"/>
      <c r="R125" s="13"/>
      <c r="S125" s="13"/>
      <c r="T125" s="13"/>
      <c r="U125" s="13"/>
    </row>
    <row r="126" spans="1:21" s="2" customFormat="1" ht="15.75" x14ac:dyDescent="0.25">
      <c r="A126" s="23"/>
      <c r="B126" s="22">
        <f t="shared" si="7"/>
        <v>122</v>
      </c>
      <c r="C126" s="89" t="s">
        <v>208</v>
      </c>
      <c r="D126" s="89" t="s">
        <v>52</v>
      </c>
      <c r="E126" s="89" t="s">
        <v>391</v>
      </c>
      <c r="F126" s="10">
        <v>43893</v>
      </c>
      <c r="G126" s="89" t="s">
        <v>135</v>
      </c>
      <c r="H126" s="22" t="s">
        <v>390</v>
      </c>
      <c r="I126" s="90">
        <v>27575.79</v>
      </c>
      <c r="J126" s="90">
        <v>17059.189999999999</v>
      </c>
      <c r="K126" s="91">
        <f t="shared" si="8"/>
        <v>0.38137076036624884</v>
      </c>
      <c r="L126" s="90">
        <v>1618.12</v>
      </c>
      <c r="M126" s="91">
        <f t="shared" si="9"/>
        <v>5.8679007926880786E-2</v>
      </c>
      <c r="N126" s="11">
        <v>-2450.0100000000002</v>
      </c>
      <c r="O126" s="92">
        <v>0</v>
      </c>
      <c r="P126" s="92"/>
      <c r="Q126" s="12"/>
      <c r="R126" s="13"/>
      <c r="S126" s="13"/>
      <c r="T126" s="13"/>
      <c r="U126" s="13"/>
    </row>
    <row r="127" spans="1:21" s="2" customFormat="1" ht="15.75" x14ac:dyDescent="0.25">
      <c r="A127" s="23"/>
      <c r="B127" s="22">
        <f t="shared" si="7"/>
        <v>123</v>
      </c>
      <c r="C127" s="89" t="s">
        <v>29</v>
      </c>
      <c r="D127" s="89" t="s">
        <v>98</v>
      </c>
      <c r="E127" s="89" t="s">
        <v>396</v>
      </c>
      <c r="F127" s="10">
        <v>43931</v>
      </c>
      <c r="G127" s="89" t="s">
        <v>225</v>
      </c>
      <c r="H127" s="22" t="s">
        <v>13</v>
      </c>
      <c r="I127" s="90">
        <v>12654.46</v>
      </c>
      <c r="J127" s="90">
        <v>6138.89</v>
      </c>
      <c r="K127" s="91">
        <f t="shared" si="8"/>
        <v>0.514883290160149</v>
      </c>
      <c r="L127" s="90">
        <v>906.12</v>
      </c>
      <c r="M127" s="91">
        <f t="shared" si="9"/>
        <v>7.1604793882947201E-2</v>
      </c>
      <c r="N127" s="11">
        <v>-507.28</v>
      </c>
      <c r="O127" s="92">
        <v>0</v>
      </c>
      <c r="P127" s="92"/>
      <c r="Q127" s="12" t="s">
        <v>144</v>
      </c>
      <c r="R127" s="13"/>
      <c r="S127" s="13"/>
      <c r="T127" s="13"/>
      <c r="U127" s="13"/>
    </row>
    <row r="128" spans="1:21" s="2" customFormat="1" ht="15.75" x14ac:dyDescent="0.25">
      <c r="A128" s="23"/>
      <c r="B128" s="22">
        <f t="shared" si="7"/>
        <v>124</v>
      </c>
      <c r="C128" s="89" t="s">
        <v>38</v>
      </c>
      <c r="D128" s="89" t="s">
        <v>31</v>
      </c>
      <c r="E128" s="89" t="s">
        <v>396</v>
      </c>
      <c r="F128" s="10">
        <v>44012</v>
      </c>
      <c r="G128" s="89" t="s">
        <v>226</v>
      </c>
      <c r="H128" s="22" t="s">
        <v>20</v>
      </c>
      <c r="I128" s="90">
        <v>11770.84</v>
      </c>
      <c r="J128" s="90">
        <v>5650.77</v>
      </c>
      <c r="K128" s="91">
        <f t="shared" si="8"/>
        <v>0.51993485596609923</v>
      </c>
      <c r="L128" s="90">
        <v>1266.8900000000001</v>
      </c>
      <c r="M128" s="91">
        <f t="shared" si="9"/>
        <v>0.10762953196203501</v>
      </c>
      <c r="N128" s="11">
        <v>323.74</v>
      </c>
      <c r="O128" s="92">
        <v>0</v>
      </c>
      <c r="P128" s="92"/>
      <c r="Q128" s="12"/>
      <c r="R128" s="13"/>
      <c r="S128" s="13"/>
      <c r="T128" s="13"/>
      <c r="U128" s="13"/>
    </row>
    <row r="129" spans="1:21" s="2" customFormat="1" ht="15.75" x14ac:dyDescent="0.25">
      <c r="A129" s="23"/>
      <c r="B129" s="22">
        <f t="shared" si="7"/>
        <v>125</v>
      </c>
      <c r="C129" s="89" t="s">
        <v>29</v>
      </c>
      <c r="D129" s="89" t="s">
        <v>39</v>
      </c>
      <c r="E129" s="89" t="s">
        <v>391</v>
      </c>
      <c r="F129" s="10">
        <v>44029</v>
      </c>
      <c r="G129" s="89" t="s">
        <v>227</v>
      </c>
      <c r="H129" s="22" t="s">
        <v>16</v>
      </c>
      <c r="I129" s="90">
        <v>11370.22</v>
      </c>
      <c r="J129" s="90">
        <v>5538.14</v>
      </c>
      <c r="K129" s="91">
        <f t="shared" si="8"/>
        <v>0.51292587126722256</v>
      </c>
      <c r="L129" s="90">
        <f>1004.07+O129</f>
        <v>1104.0700000000002</v>
      </c>
      <c r="M129" s="91">
        <f t="shared" si="9"/>
        <v>9.7101903041453927E-2</v>
      </c>
      <c r="N129" s="11">
        <v>-230.88</v>
      </c>
      <c r="O129" s="92">
        <v>100</v>
      </c>
      <c r="P129" s="92"/>
      <c r="Q129" s="12"/>
      <c r="R129" s="13"/>
      <c r="S129" s="13"/>
      <c r="T129" s="13"/>
      <c r="U129" s="13"/>
    </row>
    <row r="130" spans="1:21" s="2" customFormat="1" ht="15.75" x14ac:dyDescent="0.25">
      <c r="A130" s="23"/>
      <c r="B130" s="22">
        <f t="shared" si="7"/>
        <v>126</v>
      </c>
      <c r="C130" s="89" t="s">
        <v>29</v>
      </c>
      <c r="D130" s="89" t="s">
        <v>31</v>
      </c>
      <c r="E130" s="89" t="s">
        <v>228</v>
      </c>
      <c r="F130" s="10">
        <v>44007</v>
      </c>
      <c r="G130" s="89" t="s">
        <v>229</v>
      </c>
      <c r="H130" s="22" t="s">
        <v>19</v>
      </c>
      <c r="I130" s="90">
        <v>5501.74</v>
      </c>
      <c r="J130" s="90">
        <v>2311.9299999999998</v>
      </c>
      <c r="K130" s="91">
        <f t="shared" si="8"/>
        <v>0.57978203259332506</v>
      </c>
      <c r="L130" s="90">
        <f>508.07+O130</f>
        <v>608.06999999999994</v>
      </c>
      <c r="M130" s="91">
        <f t="shared" si="9"/>
        <v>0.1105232162915732</v>
      </c>
      <c r="N130" s="11">
        <v>-0.26</v>
      </c>
      <c r="O130" s="92">
        <v>100</v>
      </c>
      <c r="P130" s="92"/>
      <c r="Q130" s="12"/>
      <c r="R130" s="13"/>
      <c r="S130" s="13"/>
      <c r="T130" s="13"/>
      <c r="U130" s="13"/>
    </row>
    <row r="131" spans="1:21" s="2" customFormat="1" ht="15.75" x14ac:dyDescent="0.25">
      <c r="A131" s="23"/>
      <c r="B131" s="22">
        <f t="shared" si="7"/>
        <v>127</v>
      </c>
      <c r="C131" s="89" t="s">
        <v>29</v>
      </c>
      <c r="D131" s="89" t="s">
        <v>188</v>
      </c>
      <c r="E131" s="89" t="s">
        <v>396</v>
      </c>
      <c r="F131" s="10">
        <v>44054</v>
      </c>
      <c r="G131" s="89" t="s">
        <v>230</v>
      </c>
      <c r="H131" s="22" t="s">
        <v>20</v>
      </c>
      <c r="I131" s="90">
        <v>9603.7099999999991</v>
      </c>
      <c r="J131" s="90">
        <f>3996.31+450</f>
        <v>4446.3099999999995</v>
      </c>
      <c r="K131" s="91">
        <f t="shared" si="8"/>
        <v>0.53702163018250237</v>
      </c>
      <c r="L131" s="90">
        <v>0</v>
      </c>
      <c r="M131" s="91">
        <f t="shared" si="9"/>
        <v>0</v>
      </c>
      <c r="N131" s="11">
        <v>0</v>
      </c>
      <c r="O131" s="92">
        <v>0</v>
      </c>
      <c r="P131" s="92"/>
      <c r="Q131" s="12"/>
      <c r="R131" s="13"/>
      <c r="S131" s="13"/>
      <c r="T131" s="13"/>
      <c r="U131" s="13"/>
    </row>
    <row r="132" spans="1:21" s="2" customFormat="1" ht="15.75" x14ac:dyDescent="0.25">
      <c r="A132" s="23"/>
      <c r="B132" s="22">
        <f t="shared" si="7"/>
        <v>128</v>
      </c>
      <c r="C132" s="89" t="s">
        <v>29</v>
      </c>
      <c r="D132" s="89" t="s">
        <v>26</v>
      </c>
      <c r="E132" s="89" t="s">
        <v>393</v>
      </c>
      <c r="F132" s="10">
        <v>44000</v>
      </c>
      <c r="G132" s="89" t="s">
        <v>231</v>
      </c>
      <c r="H132" s="22" t="s">
        <v>19</v>
      </c>
      <c r="I132" s="90">
        <v>8713.7900000000009</v>
      </c>
      <c r="J132" s="90">
        <v>4467.4799999999996</v>
      </c>
      <c r="K132" s="91">
        <f t="shared" si="8"/>
        <v>0.48730919611328721</v>
      </c>
      <c r="L132" s="90">
        <v>904.21</v>
      </c>
      <c r="M132" s="91">
        <f t="shared" si="9"/>
        <v>0.10376770613016838</v>
      </c>
      <c r="N132" s="11">
        <v>390.09</v>
      </c>
      <c r="O132" s="92">
        <v>0</v>
      </c>
      <c r="P132" s="92"/>
      <c r="Q132" s="12"/>
      <c r="R132" s="13"/>
      <c r="S132" s="13"/>
      <c r="T132" s="13"/>
      <c r="U132" s="13"/>
    </row>
    <row r="133" spans="1:21" s="2" customFormat="1" ht="15.75" x14ac:dyDescent="0.25">
      <c r="A133" s="23"/>
      <c r="B133" s="22">
        <f t="shared" si="7"/>
        <v>129</v>
      </c>
      <c r="C133" s="89" t="s">
        <v>29</v>
      </c>
      <c r="D133" s="89" t="s">
        <v>52</v>
      </c>
      <c r="E133" s="89" t="s">
        <v>391</v>
      </c>
      <c r="F133" s="10">
        <v>44041</v>
      </c>
      <c r="G133" s="89" t="s">
        <v>232</v>
      </c>
      <c r="H133" s="22" t="s">
        <v>390</v>
      </c>
      <c r="I133" s="90">
        <v>19303.82</v>
      </c>
      <c r="J133" s="90">
        <v>8585.7999999999993</v>
      </c>
      <c r="K133" s="91">
        <f t="shared" si="8"/>
        <v>0.55522792897985995</v>
      </c>
      <c r="L133" s="90">
        <f>2006.11+O133</f>
        <v>2106.1099999999997</v>
      </c>
      <c r="M133" s="91">
        <f t="shared" si="9"/>
        <v>0.10910327593191398</v>
      </c>
      <c r="N133" s="11">
        <v>895.82</v>
      </c>
      <c r="O133" s="92">
        <v>100</v>
      </c>
      <c r="P133" s="92"/>
      <c r="Q133" s="12"/>
      <c r="R133" s="13"/>
      <c r="S133" s="13"/>
      <c r="T133" s="13"/>
      <c r="U133" s="13"/>
    </row>
    <row r="134" spans="1:21" s="2" customFormat="1" ht="15.75" x14ac:dyDescent="0.25">
      <c r="A134" s="23"/>
      <c r="B134" s="22">
        <f t="shared" si="7"/>
        <v>130</v>
      </c>
      <c r="C134" s="89" t="s">
        <v>41</v>
      </c>
      <c r="D134" s="89" t="s">
        <v>39</v>
      </c>
      <c r="E134" s="89" t="s">
        <v>392</v>
      </c>
      <c r="F134" s="10">
        <v>44030</v>
      </c>
      <c r="G134" s="89" t="s">
        <v>28</v>
      </c>
      <c r="H134" s="22" t="s">
        <v>390</v>
      </c>
      <c r="I134" s="90">
        <v>16761.46</v>
      </c>
      <c r="J134" s="90">
        <v>9345.66</v>
      </c>
      <c r="K134" s="91">
        <f t="shared" si="8"/>
        <v>0.4424316258846186</v>
      </c>
      <c r="L134" s="90">
        <f>1073.99+O134</f>
        <v>1373.99</v>
      </c>
      <c r="M134" s="91">
        <f t="shared" si="9"/>
        <v>8.197316940171083E-2</v>
      </c>
      <c r="N134" s="11">
        <v>-1260.74</v>
      </c>
      <c r="O134" s="92">
        <v>300</v>
      </c>
      <c r="P134" s="92"/>
      <c r="Q134" s="12" t="s">
        <v>233</v>
      </c>
      <c r="R134" s="13"/>
      <c r="S134" s="13"/>
      <c r="T134" s="13"/>
      <c r="U134" s="13"/>
    </row>
    <row r="135" spans="1:21" s="2" customFormat="1" ht="15.75" x14ac:dyDescent="0.25">
      <c r="A135" s="23"/>
      <c r="B135" s="22">
        <f t="shared" ref="B135:B198" si="10">B134+1</f>
        <v>131</v>
      </c>
      <c r="C135" s="89" t="s">
        <v>29</v>
      </c>
      <c r="D135" s="89" t="s">
        <v>26</v>
      </c>
      <c r="E135" s="89" t="s">
        <v>395</v>
      </c>
      <c r="F135" s="10">
        <v>44026</v>
      </c>
      <c r="G135" s="89" t="s">
        <v>234</v>
      </c>
      <c r="H135" s="22" t="s">
        <v>30</v>
      </c>
      <c r="I135" s="90">
        <v>5358.05</v>
      </c>
      <c r="J135" s="90">
        <v>2102.54</v>
      </c>
      <c r="K135" s="91">
        <f t="shared" si="8"/>
        <v>0.60759231436810035</v>
      </c>
      <c r="L135" s="90">
        <v>648.89</v>
      </c>
      <c r="M135" s="91">
        <f>L135/I135</f>
        <v>0.12110562611397803</v>
      </c>
      <c r="N135" s="11">
        <v>431.45</v>
      </c>
      <c r="O135" s="92">
        <v>0</v>
      </c>
      <c r="P135" s="92"/>
      <c r="Q135" s="12"/>
      <c r="R135" s="13"/>
      <c r="S135" s="13"/>
      <c r="T135" s="13"/>
      <c r="U135" s="13"/>
    </row>
    <row r="136" spans="1:21" s="2" customFormat="1" ht="15.75" x14ac:dyDescent="0.25">
      <c r="A136" s="23"/>
      <c r="B136" s="22">
        <f t="shared" si="10"/>
        <v>132</v>
      </c>
      <c r="C136" s="89" t="s">
        <v>29</v>
      </c>
      <c r="D136" s="89" t="s">
        <v>26</v>
      </c>
      <c r="E136" s="89" t="s">
        <v>395</v>
      </c>
      <c r="F136" s="10">
        <v>44028</v>
      </c>
      <c r="G136" s="89" t="s">
        <v>235</v>
      </c>
      <c r="H136" s="22" t="s">
        <v>30</v>
      </c>
      <c r="I136" s="90">
        <v>5386.1</v>
      </c>
      <c r="J136" s="90">
        <v>2282.36</v>
      </c>
      <c r="K136" s="91">
        <f t="shared" si="8"/>
        <v>0.57624997679211298</v>
      </c>
      <c r="L136" s="90">
        <f>511.85+O136</f>
        <v>561.85</v>
      </c>
      <c r="M136" s="91">
        <f t="shared" si="9"/>
        <v>0.1043148103451477</v>
      </c>
      <c r="N136" s="11">
        <v>38.1</v>
      </c>
      <c r="O136" s="92">
        <v>50</v>
      </c>
      <c r="P136" s="92"/>
      <c r="Q136" s="12"/>
      <c r="R136" s="13"/>
      <c r="S136" s="13"/>
      <c r="T136" s="13"/>
      <c r="U136" s="13"/>
    </row>
    <row r="137" spans="1:21" s="2" customFormat="1" ht="15.75" x14ac:dyDescent="0.25">
      <c r="A137" s="23"/>
      <c r="B137" s="22">
        <f t="shared" si="10"/>
        <v>133</v>
      </c>
      <c r="C137" s="89" t="s">
        <v>29</v>
      </c>
      <c r="D137" s="89" t="s">
        <v>26</v>
      </c>
      <c r="E137" s="89" t="s">
        <v>228</v>
      </c>
      <c r="F137" s="10">
        <v>44035</v>
      </c>
      <c r="G137" s="89" t="s">
        <v>236</v>
      </c>
      <c r="H137" s="22" t="s">
        <v>24</v>
      </c>
      <c r="I137" s="90">
        <v>4173.3999999999996</v>
      </c>
      <c r="J137" s="90">
        <v>1938.96</v>
      </c>
      <c r="K137" s="91">
        <f t="shared" si="8"/>
        <v>0.53540039296496855</v>
      </c>
      <c r="L137" s="90">
        <v>392.7</v>
      </c>
      <c r="M137" s="91">
        <f t="shared" si="9"/>
        <v>9.4095940959409596E-2</v>
      </c>
      <c r="N137" s="11">
        <v>92.4</v>
      </c>
      <c r="O137" s="92">
        <v>0</v>
      </c>
      <c r="P137" s="92"/>
      <c r="Q137" s="12"/>
      <c r="R137" s="13"/>
      <c r="S137" s="13"/>
      <c r="T137" s="13"/>
      <c r="U137" s="13"/>
    </row>
    <row r="138" spans="1:21" s="2" customFormat="1" ht="15.75" x14ac:dyDescent="0.25">
      <c r="A138" s="23"/>
      <c r="B138" s="22">
        <f t="shared" si="10"/>
        <v>134</v>
      </c>
      <c r="C138" s="89" t="s">
        <v>41</v>
      </c>
      <c r="D138" s="89" t="s">
        <v>26</v>
      </c>
      <c r="E138" s="89" t="s">
        <v>395</v>
      </c>
      <c r="F138" s="10">
        <v>44020</v>
      </c>
      <c r="G138" s="89" t="s">
        <v>237</v>
      </c>
      <c r="H138" s="22" t="s">
        <v>19</v>
      </c>
      <c r="I138" s="90">
        <v>5896.69</v>
      </c>
      <c r="J138" s="90">
        <v>2641.43</v>
      </c>
      <c r="K138" s="91">
        <f t="shared" si="8"/>
        <v>0.55204869172366189</v>
      </c>
      <c r="L138" s="90">
        <f>421.91+O138</f>
        <v>621.91000000000008</v>
      </c>
      <c r="M138" s="91">
        <f t="shared" si="9"/>
        <v>0.10546764371198081</v>
      </c>
      <c r="N138" s="11">
        <v>-212.91</v>
      </c>
      <c r="O138" s="92">
        <v>200</v>
      </c>
      <c r="P138" s="92"/>
      <c r="Q138" s="12"/>
      <c r="R138" s="13"/>
      <c r="S138" s="13"/>
      <c r="T138" s="13"/>
      <c r="U138" s="13"/>
    </row>
    <row r="139" spans="1:21" s="2" customFormat="1" ht="15.75" x14ac:dyDescent="0.25">
      <c r="A139" s="23"/>
      <c r="B139" s="22">
        <f t="shared" si="10"/>
        <v>135</v>
      </c>
      <c r="C139" s="89" t="s">
        <v>41</v>
      </c>
      <c r="D139" s="89" t="s">
        <v>31</v>
      </c>
      <c r="E139" s="89" t="s">
        <v>393</v>
      </c>
      <c r="F139" s="10">
        <v>44009</v>
      </c>
      <c r="G139" s="89" t="s">
        <v>238</v>
      </c>
      <c r="H139" s="22" t="s">
        <v>60</v>
      </c>
      <c r="I139" s="90">
        <v>28339.41</v>
      </c>
      <c r="J139" s="90">
        <v>13575.22</v>
      </c>
      <c r="K139" s="91">
        <f t="shared" si="8"/>
        <v>0.52097732451028445</v>
      </c>
      <c r="L139" s="90">
        <f>1229.5+O139</f>
        <v>2629.5</v>
      </c>
      <c r="M139" s="91">
        <f t="shared" si="9"/>
        <v>9.2785982488696836E-2</v>
      </c>
      <c r="N139" s="11">
        <v>2719.59</v>
      </c>
      <c r="O139" s="92">
        <v>1400</v>
      </c>
      <c r="P139" s="92"/>
      <c r="Q139" s="12"/>
      <c r="R139" s="13"/>
      <c r="S139" s="13"/>
      <c r="T139" s="13"/>
      <c r="U139" s="13"/>
    </row>
    <row r="140" spans="1:21" s="2" customFormat="1" ht="15.75" x14ac:dyDescent="0.25">
      <c r="A140" s="23"/>
      <c r="B140" s="22">
        <f t="shared" si="10"/>
        <v>136</v>
      </c>
      <c r="C140" s="89" t="s">
        <v>41</v>
      </c>
      <c r="D140" s="89" t="s">
        <v>39</v>
      </c>
      <c r="E140" s="89" t="s">
        <v>391</v>
      </c>
      <c r="F140" s="10">
        <v>44057</v>
      </c>
      <c r="G140" s="89" t="s">
        <v>239</v>
      </c>
      <c r="H140" s="22" t="s">
        <v>390</v>
      </c>
      <c r="I140" s="90">
        <v>14068.49</v>
      </c>
      <c r="J140" s="90">
        <v>8512.57</v>
      </c>
      <c r="K140" s="91">
        <f>(I140-J140)/I140</f>
        <v>0.39491942632080629</v>
      </c>
      <c r="L140" s="90">
        <v>875.78</v>
      </c>
      <c r="M140" s="91">
        <f>L140/I140</f>
        <v>6.2251172656056196E-2</v>
      </c>
      <c r="N140" s="11">
        <v>-1185.21</v>
      </c>
      <c r="O140" s="92">
        <v>0</v>
      </c>
      <c r="P140" s="92"/>
      <c r="Q140" s="12"/>
      <c r="R140" s="13"/>
      <c r="S140" s="13"/>
      <c r="T140" s="13"/>
      <c r="U140" s="13"/>
    </row>
    <row r="141" spans="1:21" s="2" customFormat="1" ht="15.75" x14ac:dyDescent="0.25">
      <c r="A141" s="23"/>
      <c r="B141" s="22">
        <f t="shared" si="10"/>
        <v>137</v>
      </c>
      <c r="C141" s="89" t="s">
        <v>29</v>
      </c>
      <c r="D141" s="89" t="s">
        <v>31</v>
      </c>
      <c r="E141" s="89" t="s">
        <v>391</v>
      </c>
      <c r="F141" s="10">
        <v>44029</v>
      </c>
      <c r="G141" s="89" t="s">
        <v>240</v>
      </c>
      <c r="H141" s="22" t="s">
        <v>16</v>
      </c>
      <c r="I141" s="90">
        <v>13057.71</v>
      </c>
      <c r="J141" s="90">
        <v>5838.59</v>
      </c>
      <c r="K141" s="91">
        <f t="shared" si="8"/>
        <v>0.55286263824208071</v>
      </c>
      <c r="L141" s="90">
        <v>1521.33</v>
      </c>
      <c r="M141" s="91">
        <f t="shared" si="9"/>
        <v>0.11650817792706378</v>
      </c>
      <c r="N141" s="11">
        <v>608.91</v>
      </c>
      <c r="O141" s="92">
        <v>0</v>
      </c>
      <c r="P141" s="92"/>
      <c r="Q141" s="12"/>
      <c r="R141" s="13"/>
      <c r="S141" s="13"/>
      <c r="T141" s="13"/>
      <c r="U141" s="13"/>
    </row>
    <row r="142" spans="1:21" s="2" customFormat="1" ht="15.75" x14ac:dyDescent="0.25">
      <c r="A142" s="23"/>
      <c r="B142" s="22">
        <f t="shared" si="10"/>
        <v>138</v>
      </c>
      <c r="C142" s="89" t="s">
        <v>38</v>
      </c>
      <c r="D142" s="89" t="s">
        <v>31</v>
      </c>
      <c r="E142" s="89" t="s">
        <v>396</v>
      </c>
      <c r="F142" s="10">
        <v>43922</v>
      </c>
      <c r="G142" s="89" t="s">
        <v>241</v>
      </c>
      <c r="H142" s="22" t="s">
        <v>13</v>
      </c>
      <c r="I142" s="90">
        <v>4182.13</v>
      </c>
      <c r="J142" s="90">
        <v>2470.7199999999998</v>
      </c>
      <c r="K142" s="91">
        <f t="shared" si="8"/>
        <v>0.40921970383512712</v>
      </c>
      <c r="L142" s="90">
        <v>397.46</v>
      </c>
      <c r="M142" s="91">
        <f t="shared" si="9"/>
        <v>9.5037696102225414E-2</v>
      </c>
      <c r="N142" s="11">
        <v>97.43</v>
      </c>
      <c r="O142" s="92">
        <v>0</v>
      </c>
      <c r="P142" s="92"/>
      <c r="Q142" s="12"/>
      <c r="R142" s="13"/>
      <c r="S142" s="13"/>
      <c r="T142" s="13"/>
      <c r="U142" s="13"/>
    </row>
    <row r="143" spans="1:21" s="2" customFormat="1" ht="15.75" x14ac:dyDescent="0.25">
      <c r="A143" s="23"/>
      <c r="B143" s="22">
        <f t="shared" si="10"/>
        <v>139</v>
      </c>
      <c r="C143" s="89" t="s">
        <v>41</v>
      </c>
      <c r="D143" s="89" t="s">
        <v>33</v>
      </c>
      <c r="E143" s="89" t="s">
        <v>228</v>
      </c>
      <c r="F143" s="10">
        <v>44033</v>
      </c>
      <c r="G143" s="89" t="s">
        <v>242</v>
      </c>
      <c r="H143" s="22" t="s">
        <v>14</v>
      </c>
      <c r="I143" s="90">
        <v>7004.37</v>
      </c>
      <c r="J143" s="90">
        <v>3180.61</v>
      </c>
      <c r="K143" s="91">
        <f t="shared" si="8"/>
        <v>0.54591062436735915</v>
      </c>
      <c r="L143" s="90">
        <f>291.34+181.94+O143</f>
        <v>673.28</v>
      </c>
      <c r="M143" s="91">
        <f t="shared" si="9"/>
        <v>9.6122849021396645E-2</v>
      </c>
      <c r="N143" s="11">
        <v>-240.63</v>
      </c>
      <c r="O143" s="92">
        <v>200</v>
      </c>
      <c r="P143" s="92"/>
      <c r="Q143" s="12"/>
      <c r="R143" s="13"/>
      <c r="S143" s="13"/>
      <c r="T143" s="13"/>
      <c r="U143" s="13"/>
    </row>
    <row r="144" spans="1:21" s="2" customFormat="1" ht="15.75" x14ac:dyDescent="0.25">
      <c r="A144" s="23"/>
      <c r="B144" s="22">
        <f t="shared" si="10"/>
        <v>140</v>
      </c>
      <c r="C144" s="89" t="s">
        <v>29</v>
      </c>
      <c r="D144" s="89" t="s">
        <v>39</v>
      </c>
      <c r="E144" s="89" t="s">
        <v>391</v>
      </c>
      <c r="F144" s="10">
        <v>44037</v>
      </c>
      <c r="G144" s="89" t="s">
        <v>243</v>
      </c>
      <c r="H144" s="22" t="s">
        <v>390</v>
      </c>
      <c r="I144" s="90">
        <v>19048.04</v>
      </c>
      <c r="J144" s="90">
        <v>8476.61</v>
      </c>
      <c r="K144" s="91">
        <f t="shared" si="8"/>
        <v>0.55498780976940409</v>
      </c>
      <c r="L144" s="90">
        <v>2179.9</v>
      </c>
      <c r="M144" s="91">
        <f t="shared" si="9"/>
        <v>0.11444222082691972</v>
      </c>
      <c r="N144" s="11">
        <v>848.74</v>
      </c>
      <c r="O144" s="92">
        <v>0</v>
      </c>
      <c r="P144" s="92"/>
      <c r="Q144" s="12"/>
      <c r="R144" s="13"/>
      <c r="S144" s="13"/>
      <c r="T144" s="13"/>
      <c r="U144" s="13"/>
    </row>
    <row r="145" spans="1:21" s="2" customFormat="1" ht="15.75" x14ac:dyDescent="0.25">
      <c r="A145" s="23"/>
      <c r="B145" s="22">
        <f t="shared" si="10"/>
        <v>141</v>
      </c>
      <c r="C145" s="89" t="s">
        <v>29</v>
      </c>
      <c r="D145" s="89" t="s">
        <v>33</v>
      </c>
      <c r="E145" s="89" t="s">
        <v>228</v>
      </c>
      <c r="F145" s="10">
        <v>44033</v>
      </c>
      <c r="G145" s="89" t="s">
        <v>244</v>
      </c>
      <c r="H145" s="22" t="s">
        <v>14</v>
      </c>
      <c r="I145" s="90">
        <v>11123.06</v>
      </c>
      <c r="J145" s="90">
        <v>4085.42</v>
      </c>
      <c r="K145" s="91">
        <f t="shared" si="8"/>
        <v>0.632707186691432</v>
      </c>
      <c r="L145" s="90">
        <f>1051.43+O145</f>
        <v>1351.43</v>
      </c>
      <c r="M145" s="91">
        <f t="shared" si="9"/>
        <v>0.1214980410067014</v>
      </c>
      <c r="N145" s="11">
        <v>210.06</v>
      </c>
      <c r="O145" s="92">
        <v>300</v>
      </c>
      <c r="P145" s="92"/>
      <c r="Q145" s="12"/>
      <c r="R145" s="13"/>
      <c r="S145" s="13"/>
      <c r="T145" s="13"/>
      <c r="U145" s="13"/>
    </row>
    <row r="146" spans="1:21" s="2" customFormat="1" ht="15.75" x14ac:dyDescent="0.25">
      <c r="A146" s="23"/>
      <c r="B146" s="22">
        <f t="shared" si="10"/>
        <v>142</v>
      </c>
      <c r="C146" s="89" t="s">
        <v>38</v>
      </c>
      <c r="D146" s="89" t="s">
        <v>26</v>
      </c>
      <c r="E146" s="89" t="s">
        <v>393</v>
      </c>
      <c r="F146" s="10">
        <v>43974</v>
      </c>
      <c r="G146" s="89" t="s">
        <v>245</v>
      </c>
      <c r="H146" s="22" t="s">
        <v>60</v>
      </c>
      <c r="I146" s="90">
        <v>37963.800000000003</v>
      </c>
      <c r="J146" s="90">
        <v>15669.32</v>
      </c>
      <c r="K146" s="91">
        <f t="shared" si="8"/>
        <v>0.58725628098346327</v>
      </c>
      <c r="L146" s="90">
        <v>4024.56</v>
      </c>
      <c r="M146" s="91">
        <f t="shared" si="9"/>
        <v>0.10601046259858074</v>
      </c>
      <c r="N146" s="11">
        <v>2773.93</v>
      </c>
      <c r="O146" s="92">
        <v>0</v>
      </c>
      <c r="P146" s="92"/>
      <c r="Q146" s="12"/>
      <c r="R146" s="13"/>
      <c r="S146" s="13"/>
      <c r="T146" s="13"/>
      <c r="U146" s="13"/>
    </row>
    <row r="147" spans="1:21" s="2" customFormat="1" ht="15.75" x14ac:dyDescent="0.25">
      <c r="A147" s="23"/>
      <c r="B147" s="22">
        <f t="shared" si="10"/>
        <v>143</v>
      </c>
      <c r="C147" s="89" t="s">
        <v>81</v>
      </c>
      <c r="D147" s="89" t="s">
        <v>39</v>
      </c>
      <c r="E147" s="89" t="s">
        <v>391</v>
      </c>
      <c r="F147" s="10">
        <v>44020</v>
      </c>
      <c r="G147" s="89" t="s">
        <v>246</v>
      </c>
      <c r="H147" s="22" t="s">
        <v>18</v>
      </c>
      <c r="I147" s="90">
        <v>24609.46</v>
      </c>
      <c r="J147" s="90">
        <v>10026.1</v>
      </c>
      <c r="K147" s="91">
        <f t="shared" si="8"/>
        <v>0.59259162939780063</v>
      </c>
      <c r="L147" s="90">
        <v>2842.76</v>
      </c>
      <c r="M147" s="91">
        <f t="shared" si="9"/>
        <v>0.11551492799923282</v>
      </c>
      <c r="N147" s="11">
        <v>1930.16</v>
      </c>
      <c r="O147" s="92">
        <v>0</v>
      </c>
      <c r="P147" s="92"/>
      <c r="Q147" s="12" t="s">
        <v>247</v>
      </c>
      <c r="R147" s="13"/>
      <c r="S147" s="13"/>
      <c r="T147" s="13"/>
      <c r="U147" s="13"/>
    </row>
    <row r="148" spans="1:21" s="2" customFormat="1" ht="15.75" x14ac:dyDescent="0.25">
      <c r="B148" s="22">
        <f t="shared" si="10"/>
        <v>144</v>
      </c>
      <c r="C148" s="89" t="s">
        <v>29</v>
      </c>
      <c r="D148" s="89" t="s">
        <v>26</v>
      </c>
      <c r="E148" s="89" t="s">
        <v>393</v>
      </c>
      <c r="F148" s="10">
        <v>44014</v>
      </c>
      <c r="G148" s="89" t="s">
        <v>248</v>
      </c>
      <c r="H148" s="22" t="s">
        <v>30</v>
      </c>
      <c r="I148" s="90">
        <v>7946.7</v>
      </c>
      <c r="J148" s="90">
        <v>3884.98</v>
      </c>
      <c r="K148" s="93">
        <f t="shared" si="8"/>
        <v>0.51112033926032185</v>
      </c>
      <c r="L148" s="90">
        <f>688.67+O148</f>
        <v>788.67</v>
      </c>
      <c r="M148" s="91">
        <f t="shared" si="9"/>
        <v>9.9244969610026795E-2</v>
      </c>
      <c r="N148" s="11">
        <v>-51.5</v>
      </c>
      <c r="O148" s="92">
        <v>100</v>
      </c>
      <c r="P148" s="92"/>
      <c r="Q148" s="12"/>
    </row>
    <row r="149" spans="1:21" s="2" customFormat="1" ht="15.75" x14ac:dyDescent="0.25">
      <c r="B149" s="22">
        <f t="shared" si="10"/>
        <v>145</v>
      </c>
      <c r="C149" s="89" t="s">
        <v>29</v>
      </c>
      <c r="D149" s="89" t="s">
        <v>33</v>
      </c>
      <c r="E149" s="89" t="s">
        <v>228</v>
      </c>
      <c r="F149" s="10">
        <v>44027</v>
      </c>
      <c r="G149" s="89" t="s">
        <v>249</v>
      </c>
      <c r="H149" s="22" t="s">
        <v>19</v>
      </c>
      <c r="I149" s="90">
        <v>8243.7999999999993</v>
      </c>
      <c r="J149" s="90">
        <v>2807.57</v>
      </c>
      <c r="K149" s="93">
        <f t="shared" si="8"/>
        <v>0.6594325432446202</v>
      </c>
      <c r="L149" s="90">
        <f>1116.1+O149</f>
        <v>1166.0999999999999</v>
      </c>
      <c r="M149" s="91">
        <f t="shared" si="9"/>
        <v>0.14145175768456295</v>
      </c>
      <c r="N149" s="11">
        <v>1005.8</v>
      </c>
      <c r="O149" s="92">
        <v>50</v>
      </c>
      <c r="P149" s="92"/>
      <c r="Q149" s="12"/>
    </row>
    <row r="150" spans="1:21" s="2" customFormat="1" ht="15.75" x14ac:dyDescent="0.25">
      <c r="B150" s="22">
        <f t="shared" si="10"/>
        <v>146</v>
      </c>
      <c r="C150" s="89" t="s">
        <v>29</v>
      </c>
      <c r="D150" s="89" t="s">
        <v>33</v>
      </c>
      <c r="E150" s="89" t="s">
        <v>392</v>
      </c>
      <c r="F150" s="10">
        <v>44026</v>
      </c>
      <c r="G150" s="89" t="s">
        <v>250</v>
      </c>
      <c r="H150" s="22" t="s">
        <v>390</v>
      </c>
      <c r="I150" s="90">
        <v>21571.93</v>
      </c>
      <c r="J150" s="90">
        <v>10283.379999999999</v>
      </c>
      <c r="K150" s="93">
        <f>(I150-J150)/I150</f>
        <v>0.52329810081898098</v>
      </c>
      <c r="L150" s="90">
        <v>2406.83</v>
      </c>
      <c r="M150" s="91">
        <f t="shared" si="9"/>
        <v>0.11157230716027726</v>
      </c>
      <c r="N150" s="11">
        <v>961.13</v>
      </c>
      <c r="O150" s="92">
        <v>0</v>
      </c>
      <c r="P150" s="92"/>
      <c r="Q150" s="12"/>
    </row>
    <row r="151" spans="1:21" s="2" customFormat="1" ht="15.75" x14ac:dyDescent="0.25">
      <c r="B151" s="22">
        <f t="shared" si="10"/>
        <v>147</v>
      </c>
      <c r="C151" s="89" t="s">
        <v>29</v>
      </c>
      <c r="D151" s="89" t="s">
        <v>33</v>
      </c>
      <c r="E151" s="89" t="s">
        <v>391</v>
      </c>
      <c r="F151" s="10">
        <v>44041</v>
      </c>
      <c r="G151" s="89" t="s">
        <v>251</v>
      </c>
      <c r="H151" s="22" t="s">
        <v>16</v>
      </c>
      <c r="I151" s="90">
        <v>5892.93</v>
      </c>
      <c r="J151" s="90">
        <f>3051.83+150</f>
        <v>3201.83</v>
      </c>
      <c r="K151" s="93">
        <f t="shared" ref="K151:K214" si="11">(I151-J151)/I151</f>
        <v>0.45666586910076995</v>
      </c>
      <c r="L151" s="90">
        <v>600.91</v>
      </c>
      <c r="M151" s="91">
        <f t="shared" si="9"/>
        <v>0.10197134532397295</v>
      </c>
      <c r="N151" s="11">
        <v>99.03</v>
      </c>
      <c r="O151" s="92">
        <v>0</v>
      </c>
      <c r="P151" s="92"/>
      <c r="Q151" s="12"/>
    </row>
    <row r="152" spans="1:21" s="2" customFormat="1" ht="15.75" x14ac:dyDescent="0.25">
      <c r="B152" s="22">
        <f t="shared" si="10"/>
        <v>148</v>
      </c>
      <c r="C152" s="89" t="s">
        <v>29</v>
      </c>
      <c r="D152" s="89" t="s">
        <v>31</v>
      </c>
      <c r="E152" s="89" t="s">
        <v>393</v>
      </c>
      <c r="F152" s="10">
        <v>44035</v>
      </c>
      <c r="G152" s="89" t="s">
        <v>252</v>
      </c>
      <c r="H152" s="22" t="s">
        <v>24</v>
      </c>
      <c r="I152" s="90">
        <v>3787.72</v>
      </c>
      <c r="J152" s="90">
        <v>1926.17</v>
      </c>
      <c r="K152" s="93">
        <f t="shared" si="11"/>
        <v>0.49146980241411714</v>
      </c>
      <c r="L152" s="90">
        <v>271.26</v>
      </c>
      <c r="M152" s="91">
        <f t="shared" si="9"/>
        <v>7.1615642127717996E-2</v>
      </c>
      <c r="N152" s="11">
        <v>-62.28</v>
      </c>
      <c r="O152" s="92">
        <v>0</v>
      </c>
      <c r="P152" s="92"/>
      <c r="Q152" s="12"/>
    </row>
    <row r="153" spans="1:21" s="2" customFormat="1" ht="15.75" x14ac:dyDescent="0.25">
      <c r="B153" s="22">
        <f t="shared" si="10"/>
        <v>149</v>
      </c>
      <c r="C153" s="89" t="s">
        <v>29</v>
      </c>
      <c r="D153" s="89" t="s">
        <v>31</v>
      </c>
      <c r="E153" s="89" t="s">
        <v>393</v>
      </c>
      <c r="F153" s="10">
        <v>44032</v>
      </c>
      <c r="G153" s="89" t="s">
        <v>253</v>
      </c>
      <c r="H153" s="22" t="s">
        <v>14</v>
      </c>
      <c r="I153" s="90">
        <v>7770.1</v>
      </c>
      <c r="J153" s="90">
        <v>3320.73</v>
      </c>
      <c r="K153" s="91">
        <f t="shared" si="11"/>
        <v>0.57262712191606291</v>
      </c>
      <c r="L153" s="90">
        <f>861.05+O153</f>
        <v>911.05</v>
      </c>
      <c r="M153" s="91">
        <f t="shared" si="9"/>
        <v>0.1172507432336778</v>
      </c>
      <c r="N153" s="11">
        <v>714.1</v>
      </c>
      <c r="O153" s="92">
        <v>50</v>
      </c>
      <c r="P153" s="92"/>
      <c r="Q153" s="12" t="s">
        <v>254</v>
      </c>
    </row>
    <row r="154" spans="1:21" s="2" customFormat="1" ht="15.75" x14ac:dyDescent="0.25">
      <c r="B154" s="22">
        <f t="shared" si="10"/>
        <v>150</v>
      </c>
      <c r="C154" s="89" t="s">
        <v>29</v>
      </c>
      <c r="D154" s="89" t="s">
        <v>26</v>
      </c>
      <c r="E154" s="89" t="s">
        <v>395</v>
      </c>
      <c r="F154" s="10">
        <v>44036</v>
      </c>
      <c r="G154" s="89" t="s">
        <v>255</v>
      </c>
      <c r="H154" s="22" t="s">
        <v>21</v>
      </c>
      <c r="I154" s="90">
        <v>18632.68</v>
      </c>
      <c r="J154" s="90">
        <v>8910.7000000000007</v>
      </c>
      <c r="K154" s="91">
        <f t="shared" si="11"/>
        <v>0.52177035187638066</v>
      </c>
      <c r="L154" s="90">
        <v>1830.4</v>
      </c>
      <c r="M154" s="91">
        <f t="shared" si="9"/>
        <v>9.8236002550357762E-2</v>
      </c>
      <c r="N154" s="11">
        <v>402.58</v>
      </c>
      <c r="O154" s="92">
        <v>0</v>
      </c>
      <c r="P154" s="92"/>
      <c r="Q154" s="12"/>
    </row>
    <row r="155" spans="1:21" s="2" customFormat="1" ht="15.75" x14ac:dyDescent="0.25">
      <c r="B155" s="22">
        <f t="shared" si="10"/>
        <v>151</v>
      </c>
      <c r="C155" s="89" t="s">
        <v>29</v>
      </c>
      <c r="D155" s="89" t="s">
        <v>39</v>
      </c>
      <c r="E155" s="89" t="s">
        <v>391</v>
      </c>
      <c r="F155" s="10">
        <v>44035</v>
      </c>
      <c r="G155" s="89" t="s">
        <v>256</v>
      </c>
      <c r="H155" s="22" t="s">
        <v>390</v>
      </c>
      <c r="I155" s="90">
        <v>23638.47</v>
      </c>
      <c r="J155" s="90">
        <v>9295.89</v>
      </c>
      <c r="K155" s="91">
        <f t="shared" si="11"/>
        <v>0.60674739101134723</v>
      </c>
      <c r="L155" s="90">
        <v>2846.78</v>
      </c>
      <c r="M155" s="91">
        <f t="shared" si="9"/>
        <v>0.12042996014547473</v>
      </c>
      <c r="N155" s="11">
        <v>1387.57</v>
      </c>
      <c r="O155" s="92">
        <v>0</v>
      </c>
      <c r="P155" s="92"/>
      <c r="Q155" s="12" t="s">
        <v>257</v>
      </c>
    </row>
    <row r="156" spans="1:21" s="2" customFormat="1" ht="15.75" x14ac:dyDescent="0.25">
      <c r="B156" s="22">
        <f t="shared" si="10"/>
        <v>152</v>
      </c>
      <c r="C156" s="89" t="s">
        <v>29</v>
      </c>
      <c r="D156" s="89" t="s">
        <v>33</v>
      </c>
      <c r="E156" s="89" t="s">
        <v>392</v>
      </c>
      <c r="F156" s="10">
        <v>44097</v>
      </c>
      <c r="G156" s="89" t="s">
        <v>48</v>
      </c>
      <c r="H156" s="22" t="s">
        <v>16</v>
      </c>
      <c r="I156" s="90">
        <v>8063.96</v>
      </c>
      <c r="J156" s="90">
        <v>3606.92</v>
      </c>
      <c r="K156" s="91">
        <f>(I156-J156)/I156</f>
        <v>0.55271107495572891</v>
      </c>
      <c r="L156" s="90">
        <v>847.54</v>
      </c>
      <c r="M156" s="91">
        <f>L156/I156</f>
        <v>0.10510220784825321</v>
      </c>
      <c r="N156" s="11">
        <v>225.36</v>
      </c>
      <c r="O156" s="92">
        <v>0</v>
      </c>
      <c r="P156" s="92"/>
      <c r="Q156" s="12"/>
    </row>
    <row r="157" spans="1:21" s="2" customFormat="1" ht="15.75" x14ac:dyDescent="0.25">
      <c r="B157" s="22">
        <f t="shared" si="10"/>
        <v>153</v>
      </c>
      <c r="C157" s="89" t="s">
        <v>29</v>
      </c>
      <c r="D157" s="89" t="s">
        <v>33</v>
      </c>
      <c r="E157" s="89" t="s">
        <v>27</v>
      </c>
      <c r="F157" s="10">
        <v>44064</v>
      </c>
      <c r="G157" s="89" t="s">
        <v>258</v>
      </c>
      <c r="H157" s="22" t="s">
        <v>24</v>
      </c>
      <c r="I157" s="90">
        <v>10524.22</v>
      </c>
      <c r="J157" s="90">
        <v>3725.01</v>
      </c>
      <c r="K157" s="91">
        <f>(I157-J157)/I157</f>
        <v>0.64605357926763218</v>
      </c>
      <c r="L157" s="90">
        <v>1288.9100000000001</v>
      </c>
      <c r="M157" s="91">
        <f>L157/I157</f>
        <v>0.12247083394303808</v>
      </c>
      <c r="N157" s="11">
        <v>696.22</v>
      </c>
      <c r="O157" s="92">
        <v>0</v>
      </c>
      <c r="P157" s="92"/>
      <c r="Q157" s="12"/>
    </row>
    <row r="158" spans="1:21" s="2" customFormat="1" ht="15.75" x14ac:dyDescent="0.25">
      <c r="B158" s="22">
        <f t="shared" si="10"/>
        <v>154</v>
      </c>
      <c r="C158" s="89" t="s">
        <v>38</v>
      </c>
      <c r="D158" s="89" t="s">
        <v>31</v>
      </c>
      <c r="E158" s="89" t="s">
        <v>396</v>
      </c>
      <c r="F158" s="10">
        <v>44062</v>
      </c>
      <c r="G158" s="89" t="s">
        <v>259</v>
      </c>
      <c r="H158" s="22" t="s">
        <v>13</v>
      </c>
      <c r="I158" s="90">
        <v>7413.02</v>
      </c>
      <c r="J158" s="90">
        <v>3869</v>
      </c>
      <c r="K158" s="91">
        <f>(I158-J158)/I158</f>
        <v>0.4780804584366426</v>
      </c>
      <c r="L158" s="90">
        <v>544.04</v>
      </c>
      <c r="M158" s="91">
        <f>L158/I158</f>
        <v>7.3389792554181682E-2</v>
      </c>
      <c r="N158" s="11">
        <v>-296.38</v>
      </c>
      <c r="O158" s="92">
        <v>0</v>
      </c>
      <c r="P158" s="92"/>
      <c r="Q158" s="12"/>
    </row>
    <row r="159" spans="1:21" s="2" customFormat="1" ht="15.75" x14ac:dyDescent="0.25">
      <c r="B159" s="22">
        <f t="shared" si="10"/>
        <v>155</v>
      </c>
      <c r="C159" s="89" t="s">
        <v>45</v>
      </c>
      <c r="D159" s="89" t="s">
        <v>31</v>
      </c>
      <c r="E159" s="89" t="s">
        <v>228</v>
      </c>
      <c r="F159" s="10">
        <v>44009</v>
      </c>
      <c r="G159" s="89" t="s">
        <v>260</v>
      </c>
      <c r="H159" s="22" t="s">
        <v>19</v>
      </c>
      <c r="I159" s="90">
        <v>24063.49</v>
      </c>
      <c r="J159" s="90">
        <v>8161.48</v>
      </c>
      <c r="K159" s="91">
        <f t="shared" si="11"/>
        <v>0.66083556458352466</v>
      </c>
      <c r="L159" s="90">
        <f>2356.35+O159</f>
        <v>2756.35</v>
      </c>
      <c r="M159" s="91">
        <f t="shared" ref="M159:M206" si="12">L159/I159</f>
        <v>0.11454489768524848</v>
      </c>
      <c r="N159" s="11">
        <v>445.49</v>
      </c>
      <c r="O159" s="92">
        <v>400</v>
      </c>
      <c r="P159" s="92"/>
      <c r="Q159" s="12"/>
    </row>
    <row r="160" spans="1:21" s="2" customFormat="1" ht="15.75" x14ac:dyDescent="0.25">
      <c r="B160" s="22">
        <f t="shared" si="10"/>
        <v>156</v>
      </c>
      <c r="C160" s="89" t="s">
        <v>29</v>
      </c>
      <c r="D160" s="89" t="s">
        <v>52</v>
      </c>
      <c r="E160" s="89" t="s">
        <v>392</v>
      </c>
      <c r="F160" s="10">
        <v>44074</v>
      </c>
      <c r="G160" s="89" t="s">
        <v>261</v>
      </c>
      <c r="H160" s="22" t="s">
        <v>16</v>
      </c>
      <c r="I160" s="90">
        <v>5984.7</v>
      </c>
      <c r="J160" s="90">
        <v>3580</v>
      </c>
      <c r="K160" s="91">
        <f t="shared" si="11"/>
        <v>0.40180794358948652</v>
      </c>
      <c r="L160" s="90">
        <v>467.45</v>
      </c>
      <c r="M160" s="91">
        <f t="shared" si="12"/>
        <v>7.8107507477400709E-2</v>
      </c>
      <c r="N160" s="11">
        <v>-283.8</v>
      </c>
      <c r="O160" s="92">
        <v>0</v>
      </c>
      <c r="P160" s="92"/>
      <c r="Q160" s="12"/>
    </row>
    <row r="161" spans="2:17" s="2" customFormat="1" ht="15.75" x14ac:dyDescent="0.25">
      <c r="B161" s="22">
        <f t="shared" si="10"/>
        <v>157</v>
      </c>
      <c r="C161" s="89" t="s">
        <v>397</v>
      </c>
      <c r="D161" s="89" t="s">
        <v>31</v>
      </c>
      <c r="E161" s="89" t="s">
        <v>392</v>
      </c>
      <c r="F161" s="10">
        <v>44071</v>
      </c>
      <c r="G161" s="89" t="s">
        <v>262</v>
      </c>
      <c r="H161" s="22" t="s">
        <v>390</v>
      </c>
      <c r="I161" s="90">
        <v>19520.96</v>
      </c>
      <c r="J161" s="90">
        <v>8575.18</v>
      </c>
      <c r="K161" s="91">
        <f t="shared" si="11"/>
        <v>0.56071934986803929</v>
      </c>
      <c r="L161" s="90">
        <v>2488.1799999999998</v>
      </c>
      <c r="M161" s="91">
        <f t="shared" si="12"/>
        <v>0.1274619690834877</v>
      </c>
      <c r="N161" s="11">
        <v>1520.46</v>
      </c>
      <c r="O161" s="92">
        <v>0</v>
      </c>
      <c r="P161" s="92"/>
      <c r="Q161" s="12" t="s">
        <v>263</v>
      </c>
    </row>
    <row r="162" spans="2:17" s="2" customFormat="1" ht="15.75" x14ac:dyDescent="0.25">
      <c r="B162" s="22">
        <f t="shared" si="10"/>
        <v>158</v>
      </c>
      <c r="C162" s="89" t="s">
        <v>29</v>
      </c>
      <c r="D162" s="89" t="s">
        <v>33</v>
      </c>
      <c r="E162" s="89" t="s">
        <v>392</v>
      </c>
      <c r="F162" s="10">
        <v>44068</v>
      </c>
      <c r="G162" s="89" t="s">
        <v>264</v>
      </c>
      <c r="H162" s="22" t="s">
        <v>16</v>
      </c>
      <c r="I162" s="90">
        <v>12976.13</v>
      </c>
      <c r="J162" s="90">
        <v>6435.45</v>
      </c>
      <c r="K162" s="91">
        <f t="shared" si="11"/>
        <v>0.50405475284233436</v>
      </c>
      <c r="L162" s="90">
        <f>1107.58+O162</f>
        <v>1207.58</v>
      </c>
      <c r="M162" s="91">
        <f t="shared" si="12"/>
        <v>9.306164472766533E-2</v>
      </c>
      <c r="N162" s="11">
        <v>-405.07</v>
      </c>
      <c r="O162" s="92">
        <v>100</v>
      </c>
      <c r="P162" s="92"/>
      <c r="Q162" s="12" t="s">
        <v>265</v>
      </c>
    </row>
    <row r="163" spans="2:17" s="2" customFormat="1" ht="15.75" x14ac:dyDescent="0.25">
      <c r="B163" s="22">
        <f t="shared" si="10"/>
        <v>159</v>
      </c>
      <c r="C163" s="89" t="s">
        <v>38</v>
      </c>
      <c r="D163" s="89" t="s">
        <v>31</v>
      </c>
      <c r="E163" s="89" t="s">
        <v>391</v>
      </c>
      <c r="F163" s="10">
        <v>44045</v>
      </c>
      <c r="G163" s="89" t="s">
        <v>266</v>
      </c>
      <c r="H163" s="22" t="s">
        <v>390</v>
      </c>
      <c r="I163" s="90">
        <v>15381.21</v>
      </c>
      <c r="J163" s="90">
        <v>7093.01</v>
      </c>
      <c r="K163" s="91">
        <f t="shared" si="11"/>
        <v>0.53885227495106036</v>
      </c>
      <c r="L163" s="90">
        <v>1760.44</v>
      </c>
      <c r="M163" s="91">
        <f t="shared" si="12"/>
        <v>0.11445393437837466</v>
      </c>
      <c r="N163" s="11">
        <v>788.36</v>
      </c>
      <c r="O163" s="92">
        <v>0</v>
      </c>
      <c r="P163" s="92"/>
      <c r="Q163" s="12" t="s">
        <v>267</v>
      </c>
    </row>
    <row r="164" spans="2:17" s="2" customFormat="1" ht="15.75" x14ac:dyDescent="0.25">
      <c r="B164" s="22">
        <f t="shared" si="10"/>
        <v>160</v>
      </c>
      <c r="C164" s="89" t="s">
        <v>29</v>
      </c>
      <c r="D164" s="89" t="s">
        <v>33</v>
      </c>
      <c r="E164" s="89" t="s">
        <v>27</v>
      </c>
      <c r="F164" s="10">
        <v>44061</v>
      </c>
      <c r="G164" s="89" t="s">
        <v>268</v>
      </c>
      <c r="H164" s="22" t="s">
        <v>14</v>
      </c>
      <c r="I164" s="90">
        <v>12292.1</v>
      </c>
      <c r="J164" s="90">
        <v>5047.59</v>
      </c>
      <c r="K164" s="91">
        <f t="shared" si="11"/>
        <v>0.58936308686066663</v>
      </c>
      <c r="L164" s="90">
        <f>1237.65+O164</f>
        <v>1337.65</v>
      </c>
      <c r="M164" s="91">
        <f t="shared" si="12"/>
        <v>0.10882192627785325</v>
      </c>
      <c r="N164" s="11">
        <v>126.1</v>
      </c>
      <c r="O164" s="92">
        <v>100</v>
      </c>
      <c r="P164" s="92"/>
      <c r="Q164" s="12"/>
    </row>
    <row r="165" spans="2:17" s="2" customFormat="1" ht="15.75" x14ac:dyDescent="0.25">
      <c r="B165" s="22">
        <f t="shared" si="10"/>
        <v>161</v>
      </c>
      <c r="C165" s="89" t="s">
        <v>208</v>
      </c>
      <c r="D165" s="89" t="s">
        <v>98</v>
      </c>
      <c r="E165" s="89" t="s">
        <v>395</v>
      </c>
      <c r="F165" s="10">
        <v>43963</v>
      </c>
      <c r="G165" s="89" t="s">
        <v>269</v>
      </c>
      <c r="H165" s="22" t="s">
        <v>30</v>
      </c>
      <c r="I165" s="90">
        <v>8138.56</v>
      </c>
      <c r="J165" s="90">
        <v>3273.1</v>
      </c>
      <c r="K165" s="91">
        <f t="shared" si="11"/>
        <v>0.59782811701332927</v>
      </c>
      <c r="L165" s="90">
        <v>520.55999999999995</v>
      </c>
      <c r="M165" s="91">
        <f t="shared" si="12"/>
        <v>6.3962175126803744E-2</v>
      </c>
      <c r="N165" s="11">
        <v>501.56</v>
      </c>
      <c r="O165" s="92">
        <v>0</v>
      </c>
      <c r="P165" s="92"/>
      <c r="Q165" s="12"/>
    </row>
    <row r="166" spans="2:17" s="2" customFormat="1" ht="15.75" x14ac:dyDescent="0.25">
      <c r="B166" s="22">
        <f t="shared" si="10"/>
        <v>162</v>
      </c>
      <c r="C166" s="89" t="s">
        <v>29</v>
      </c>
      <c r="D166" s="89" t="s">
        <v>31</v>
      </c>
      <c r="E166" s="89" t="s">
        <v>395</v>
      </c>
      <c r="F166" s="10">
        <v>44035</v>
      </c>
      <c r="G166" s="89" t="s">
        <v>270</v>
      </c>
      <c r="H166" s="22" t="s">
        <v>19</v>
      </c>
      <c r="I166" s="90">
        <v>7477.17</v>
      </c>
      <c r="J166" s="90">
        <v>2922.44</v>
      </c>
      <c r="K166" s="91">
        <f t="shared" si="11"/>
        <v>0.60915159077565439</v>
      </c>
      <c r="L166" s="90">
        <v>983.25</v>
      </c>
      <c r="M166" s="91">
        <f t="shared" si="12"/>
        <v>0.13150028687324214</v>
      </c>
      <c r="N166" s="11">
        <v>786.57</v>
      </c>
      <c r="O166" s="92">
        <v>0</v>
      </c>
      <c r="P166" s="92"/>
      <c r="Q166" s="12"/>
    </row>
    <row r="167" spans="2:17" s="2" customFormat="1" ht="15.75" x14ac:dyDescent="0.25">
      <c r="B167" s="22">
        <f t="shared" si="10"/>
        <v>163</v>
      </c>
      <c r="C167" s="89" t="s">
        <v>29</v>
      </c>
      <c r="D167" s="89" t="s">
        <v>33</v>
      </c>
      <c r="E167" s="89" t="s">
        <v>27</v>
      </c>
      <c r="F167" s="10">
        <v>44085</v>
      </c>
      <c r="G167" s="89" t="s">
        <v>271</v>
      </c>
      <c r="H167" s="22" t="s">
        <v>382</v>
      </c>
      <c r="I167" s="90">
        <v>9223.64</v>
      </c>
      <c r="J167" s="90">
        <v>3385.75</v>
      </c>
      <c r="K167" s="91">
        <f t="shared" si="11"/>
        <v>0.63292691388649169</v>
      </c>
      <c r="L167" s="90">
        <v>1209.82</v>
      </c>
      <c r="M167" s="91">
        <f t="shared" si="12"/>
        <v>0.13116513654045475</v>
      </c>
      <c r="N167" s="11">
        <v>823.64</v>
      </c>
      <c r="O167" s="92">
        <v>0</v>
      </c>
      <c r="P167" s="92"/>
      <c r="Q167" s="12"/>
    </row>
    <row r="168" spans="2:17" s="2" customFormat="1" ht="15.75" x14ac:dyDescent="0.25">
      <c r="B168" s="22">
        <f t="shared" si="10"/>
        <v>164</v>
      </c>
      <c r="C168" s="89" t="s">
        <v>29</v>
      </c>
      <c r="D168" s="89" t="s">
        <v>31</v>
      </c>
      <c r="E168" s="89" t="s">
        <v>27</v>
      </c>
      <c r="F168" s="10">
        <v>44041</v>
      </c>
      <c r="G168" s="89" t="s">
        <v>272</v>
      </c>
      <c r="H168" s="22" t="s">
        <v>19</v>
      </c>
      <c r="I168" s="90">
        <v>8995.6</v>
      </c>
      <c r="J168" s="90">
        <v>3396.94</v>
      </c>
      <c r="K168" s="91">
        <f t="shared" si="11"/>
        <v>0.62237760683000576</v>
      </c>
      <c r="L168" s="90">
        <v>1526.44</v>
      </c>
      <c r="M168" s="91">
        <f t="shared" si="12"/>
        <v>0.16968740273022367</v>
      </c>
      <c r="N168" s="11">
        <v>1770.2</v>
      </c>
      <c r="O168" s="92">
        <v>0</v>
      </c>
      <c r="P168" s="92"/>
      <c r="Q168" s="12" t="s">
        <v>273</v>
      </c>
    </row>
    <row r="169" spans="2:17" s="2" customFormat="1" ht="15.75" x14ac:dyDescent="0.25">
      <c r="B169" s="22">
        <f t="shared" si="10"/>
        <v>165</v>
      </c>
      <c r="C169" s="89" t="s">
        <v>29</v>
      </c>
      <c r="D169" s="89" t="s">
        <v>31</v>
      </c>
      <c r="E169" s="89" t="s">
        <v>27</v>
      </c>
      <c r="F169" s="10">
        <v>44041</v>
      </c>
      <c r="G169" s="89" t="s">
        <v>274</v>
      </c>
      <c r="H169" s="22" t="s">
        <v>14</v>
      </c>
      <c r="I169" s="90">
        <v>6405.56</v>
      </c>
      <c r="J169" s="90">
        <v>2770.01</v>
      </c>
      <c r="K169" s="91">
        <f t="shared" si="11"/>
        <v>0.5675616183440636</v>
      </c>
      <c r="L169" s="90">
        <v>537.88</v>
      </c>
      <c r="M169" s="91">
        <f t="shared" si="12"/>
        <v>8.3970800367181006E-2</v>
      </c>
      <c r="N169" s="11">
        <v>-111.44</v>
      </c>
      <c r="O169" s="92">
        <v>0</v>
      </c>
      <c r="P169" s="92"/>
      <c r="Q169" s="12"/>
    </row>
    <row r="170" spans="2:17" s="2" customFormat="1" ht="15.75" x14ac:dyDescent="0.25">
      <c r="B170" s="22">
        <f t="shared" si="10"/>
        <v>166</v>
      </c>
      <c r="C170" s="89" t="s">
        <v>29</v>
      </c>
      <c r="D170" s="89" t="s">
        <v>33</v>
      </c>
      <c r="E170" s="89" t="s">
        <v>392</v>
      </c>
      <c r="F170" s="10">
        <v>44032</v>
      </c>
      <c r="G170" s="89" t="s">
        <v>275</v>
      </c>
      <c r="H170" s="22" t="s">
        <v>390</v>
      </c>
      <c r="I170" s="90">
        <v>20057.45</v>
      </c>
      <c r="J170" s="90">
        <v>11080.3</v>
      </c>
      <c r="K170" s="91">
        <f t="shared" si="11"/>
        <v>0.44757184986127357</v>
      </c>
      <c r="L170" s="90">
        <v>1765.78</v>
      </c>
      <c r="M170" s="91">
        <f t="shared" si="12"/>
        <v>8.8036116256054481E-2</v>
      </c>
      <c r="N170" s="11">
        <v>609.35</v>
      </c>
      <c r="O170" s="92">
        <v>0</v>
      </c>
      <c r="P170" s="92"/>
      <c r="Q170" s="12"/>
    </row>
    <row r="171" spans="2:17" s="2" customFormat="1" ht="15.75" x14ac:dyDescent="0.25">
      <c r="B171" s="22">
        <f t="shared" si="10"/>
        <v>167</v>
      </c>
      <c r="C171" s="89" t="s">
        <v>29</v>
      </c>
      <c r="D171" s="89" t="s">
        <v>52</v>
      </c>
      <c r="E171" s="89" t="s">
        <v>392</v>
      </c>
      <c r="F171" s="10">
        <v>44022</v>
      </c>
      <c r="G171" s="89" t="s">
        <v>276</v>
      </c>
      <c r="H171" s="22" t="s">
        <v>16</v>
      </c>
      <c r="I171" s="90">
        <v>8650.75</v>
      </c>
      <c r="J171" s="90">
        <v>4610.26</v>
      </c>
      <c r="K171" s="91">
        <f t="shared" si="11"/>
        <v>0.4670681732797734</v>
      </c>
      <c r="L171" s="90">
        <v>626.79999999999995</v>
      </c>
      <c r="M171" s="91">
        <f t="shared" si="12"/>
        <v>7.2456145420917259E-2</v>
      </c>
      <c r="N171" s="11">
        <v>-429.65</v>
      </c>
      <c r="O171" s="92">
        <v>0</v>
      </c>
      <c r="P171" s="92"/>
      <c r="Q171" s="12"/>
    </row>
    <row r="172" spans="2:17" s="2" customFormat="1" ht="15.75" x14ac:dyDescent="0.25">
      <c r="B172" s="22">
        <f t="shared" si="10"/>
        <v>168</v>
      </c>
      <c r="C172" s="89" t="s">
        <v>29</v>
      </c>
      <c r="D172" s="89" t="s">
        <v>33</v>
      </c>
      <c r="E172" s="89" t="s">
        <v>27</v>
      </c>
      <c r="F172" s="10">
        <v>44109</v>
      </c>
      <c r="G172" s="89" t="s">
        <v>277</v>
      </c>
      <c r="H172" s="22" t="s">
        <v>30</v>
      </c>
      <c r="I172" s="90">
        <v>5962.92</v>
      </c>
      <c r="J172" s="90">
        <v>2307.86</v>
      </c>
      <c r="K172" s="91">
        <f t="shared" si="11"/>
        <v>0.6129647890630765</v>
      </c>
      <c r="L172" s="90">
        <v>800.26</v>
      </c>
      <c r="M172" s="91">
        <f t="shared" si="12"/>
        <v>0.13420606011819713</v>
      </c>
      <c r="N172" s="11">
        <v>614.91999999999996</v>
      </c>
      <c r="O172" s="92">
        <v>0</v>
      </c>
      <c r="P172" s="92"/>
      <c r="Q172" s="12"/>
    </row>
    <row r="173" spans="2:17" s="2" customFormat="1" ht="15.75" x14ac:dyDescent="0.25">
      <c r="B173" s="22">
        <f t="shared" si="10"/>
        <v>169</v>
      </c>
      <c r="C173" s="89" t="s">
        <v>29</v>
      </c>
      <c r="D173" s="89" t="s">
        <v>39</v>
      </c>
      <c r="E173" s="89" t="s">
        <v>392</v>
      </c>
      <c r="F173" s="10">
        <v>44107</v>
      </c>
      <c r="G173" s="89" t="s">
        <v>278</v>
      </c>
      <c r="H173" s="22" t="s">
        <v>390</v>
      </c>
      <c r="I173" s="90">
        <v>16037.08</v>
      </c>
      <c r="J173" s="90">
        <f>7142.18+50</f>
        <v>7192.18</v>
      </c>
      <c r="K173" s="91">
        <f t="shared" si="11"/>
        <v>0.55152808366610373</v>
      </c>
      <c r="L173" s="90">
        <v>1945.06</v>
      </c>
      <c r="M173" s="91">
        <f t="shared" si="12"/>
        <v>0.12128517161478274</v>
      </c>
      <c r="N173" s="11">
        <v>951.38</v>
      </c>
      <c r="O173" s="92">
        <v>0</v>
      </c>
      <c r="P173" s="92"/>
      <c r="Q173" s="12"/>
    </row>
    <row r="174" spans="2:17" s="2" customFormat="1" ht="15.75" x14ac:dyDescent="0.25">
      <c r="B174" s="22">
        <f t="shared" si="10"/>
        <v>170</v>
      </c>
      <c r="C174" s="89" t="s">
        <v>41</v>
      </c>
      <c r="D174" s="89" t="s">
        <v>39</v>
      </c>
      <c r="E174" s="89" t="s">
        <v>391</v>
      </c>
      <c r="F174" s="10">
        <v>44090</v>
      </c>
      <c r="G174" s="89" t="s">
        <v>279</v>
      </c>
      <c r="H174" s="22" t="s">
        <v>390</v>
      </c>
      <c r="I174" s="90">
        <v>17922.23</v>
      </c>
      <c r="J174" s="90">
        <v>8352.11</v>
      </c>
      <c r="K174" s="91">
        <f t="shared" si="11"/>
        <v>0.53398042542696966</v>
      </c>
      <c r="L174" s="90">
        <f>1816.91+O174</f>
        <v>2016.91</v>
      </c>
      <c r="M174" s="91">
        <f t="shared" si="12"/>
        <v>0.11253677695242166</v>
      </c>
      <c r="N174" s="11">
        <v>131.72999999999999</v>
      </c>
      <c r="O174" s="92">
        <v>200</v>
      </c>
      <c r="P174" s="92"/>
      <c r="Q174" s="12"/>
    </row>
    <row r="175" spans="2:17" s="2" customFormat="1" ht="15.75" x14ac:dyDescent="0.25">
      <c r="B175" s="22">
        <f t="shared" si="10"/>
        <v>171</v>
      </c>
      <c r="C175" s="89" t="s">
        <v>29</v>
      </c>
      <c r="D175" s="89" t="s">
        <v>52</v>
      </c>
      <c r="E175" s="89" t="s">
        <v>392</v>
      </c>
      <c r="F175" s="10">
        <v>44051</v>
      </c>
      <c r="G175" s="89" t="s">
        <v>280</v>
      </c>
      <c r="H175" s="22" t="s">
        <v>390</v>
      </c>
      <c r="I175" s="90">
        <v>18864.43</v>
      </c>
      <c r="J175" s="90">
        <v>10976.01</v>
      </c>
      <c r="K175" s="91">
        <f t="shared" si="11"/>
        <v>0.41816370810037728</v>
      </c>
      <c r="L175" s="90">
        <f>21.66+418.37</f>
        <v>440.03000000000003</v>
      </c>
      <c r="M175" s="91">
        <f t="shared" si="12"/>
        <v>2.3325910191826629E-2</v>
      </c>
      <c r="N175" s="11">
        <v>-4901.97</v>
      </c>
      <c r="O175" s="92">
        <v>600</v>
      </c>
      <c r="P175" s="92"/>
      <c r="Q175" s="12"/>
    </row>
    <row r="176" spans="2:17" s="2" customFormat="1" ht="15.75" x14ac:dyDescent="0.25">
      <c r="B176" s="22">
        <f t="shared" si="10"/>
        <v>172</v>
      </c>
      <c r="C176" s="89" t="s">
        <v>29</v>
      </c>
      <c r="D176" s="89" t="s">
        <v>39</v>
      </c>
      <c r="E176" s="89" t="s">
        <v>391</v>
      </c>
      <c r="F176" s="10">
        <v>44058</v>
      </c>
      <c r="G176" s="89" t="s">
        <v>281</v>
      </c>
      <c r="H176" s="22" t="s">
        <v>18</v>
      </c>
      <c r="I176" s="90">
        <v>22340.67</v>
      </c>
      <c r="J176" s="90">
        <v>9686.92</v>
      </c>
      <c r="K176" s="91">
        <f t="shared" si="11"/>
        <v>0.56639975434935474</v>
      </c>
      <c r="L176" s="90">
        <v>2790.5</v>
      </c>
      <c r="M176" s="91">
        <f t="shared" si="12"/>
        <v>0.12490672840161017</v>
      </c>
      <c r="N176" s="11">
        <v>1772.57</v>
      </c>
      <c r="O176" s="92">
        <v>0</v>
      </c>
      <c r="P176" s="92"/>
      <c r="Q176" s="12" t="s">
        <v>282</v>
      </c>
    </row>
    <row r="177" spans="2:17" s="2" customFormat="1" ht="15.75" x14ac:dyDescent="0.25">
      <c r="B177" s="22">
        <f t="shared" si="10"/>
        <v>173</v>
      </c>
      <c r="C177" s="89" t="s">
        <v>29</v>
      </c>
      <c r="D177" s="89" t="s">
        <v>33</v>
      </c>
      <c r="E177" s="89" t="s">
        <v>393</v>
      </c>
      <c r="F177" s="10">
        <v>44061</v>
      </c>
      <c r="G177" s="89" t="s">
        <v>283</v>
      </c>
      <c r="H177" s="22" t="s">
        <v>14</v>
      </c>
      <c r="I177" s="90">
        <v>5994.44</v>
      </c>
      <c r="J177" s="90">
        <v>2781.66</v>
      </c>
      <c r="K177" s="91">
        <f t="shared" si="11"/>
        <v>0.53595998959035374</v>
      </c>
      <c r="L177" s="90">
        <f>508.02+O177</f>
        <v>608.02</v>
      </c>
      <c r="M177" s="91">
        <f t="shared" si="12"/>
        <v>0.10143065907741174</v>
      </c>
      <c r="N177" s="11">
        <v>30.44</v>
      </c>
      <c r="O177" s="92">
        <v>100</v>
      </c>
      <c r="P177" s="92"/>
      <c r="Q177" s="12"/>
    </row>
    <row r="178" spans="2:17" s="2" customFormat="1" ht="15.75" x14ac:dyDescent="0.25">
      <c r="B178" s="22">
        <f t="shared" si="10"/>
        <v>174</v>
      </c>
      <c r="C178" s="89" t="s">
        <v>41</v>
      </c>
      <c r="D178" s="89" t="s">
        <v>26</v>
      </c>
      <c r="E178" s="89" t="s">
        <v>27</v>
      </c>
      <c r="F178" s="10">
        <v>44071</v>
      </c>
      <c r="G178" s="89" t="s">
        <v>284</v>
      </c>
      <c r="H178" s="22" t="s">
        <v>19</v>
      </c>
      <c r="I178" s="90">
        <v>12499.13</v>
      </c>
      <c r="J178" s="90">
        <v>4873.84</v>
      </c>
      <c r="K178" s="91">
        <f t="shared" si="11"/>
        <v>0.61006566056997569</v>
      </c>
      <c r="L178" s="90">
        <v>1691.8647127103884</v>
      </c>
      <c r="M178" s="91">
        <f t="shared" si="12"/>
        <v>0.13535859797525016</v>
      </c>
      <c r="N178" s="11">
        <v>1260.6300000000001</v>
      </c>
      <c r="O178" s="92">
        <v>0</v>
      </c>
      <c r="P178" s="92"/>
      <c r="Q178" s="12"/>
    </row>
    <row r="179" spans="2:17" s="2" customFormat="1" ht="15.75" x14ac:dyDescent="0.25">
      <c r="B179" s="22">
        <f t="shared" si="10"/>
        <v>175</v>
      </c>
      <c r="C179" s="89" t="s">
        <v>38</v>
      </c>
      <c r="D179" s="89" t="s">
        <v>31</v>
      </c>
      <c r="E179" s="89" t="s">
        <v>396</v>
      </c>
      <c r="F179" s="10">
        <v>44104</v>
      </c>
      <c r="G179" s="89" t="s">
        <v>285</v>
      </c>
      <c r="H179" s="22" t="s">
        <v>13</v>
      </c>
      <c r="I179" s="90">
        <v>5994.24</v>
      </c>
      <c r="J179" s="90">
        <v>3449.01</v>
      </c>
      <c r="K179" s="91">
        <f>(I179-J179)/I179</f>
        <v>0.42461262812299805</v>
      </c>
      <c r="L179" s="90">
        <v>362.63</v>
      </c>
      <c r="M179" s="91">
        <f t="shared" si="12"/>
        <v>6.0496409886824684E-2</v>
      </c>
      <c r="N179" s="11">
        <v>-447.66</v>
      </c>
      <c r="O179" s="92">
        <v>0</v>
      </c>
      <c r="P179" s="92"/>
      <c r="Q179" s="12"/>
    </row>
    <row r="180" spans="2:17" s="2" customFormat="1" ht="15.75" x14ac:dyDescent="0.25">
      <c r="B180" s="22">
        <f t="shared" si="10"/>
        <v>176</v>
      </c>
      <c r="C180" s="89" t="s">
        <v>29</v>
      </c>
      <c r="D180" s="89" t="s">
        <v>31</v>
      </c>
      <c r="E180" s="89" t="s">
        <v>396</v>
      </c>
      <c r="F180" s="10">
        <v>44100</v>
      </c>
      <c r="G180" s="89" t="s">
        <v>286</v>
      </c>
      <c r="H180" s="22" t="s">
        <v>13</v>
      </c>
      <c r="I180" s="90">
        <v>7486.44</v>
      </c>
      <c r="J180" s="90">
        <v>3911.59</v>
      </c>
      <c r="K180" s="91">
        <f>(I180-J180)/I180</f>
        <v>0.47751000475526412</v>
      </c>
      <c r="L180" s="90">
        <v>453.92</v>
      </c>
      <c r="M180" s="91">
        <f t="shared" si="12"/>
        <v>6.0632289846709521E-2</v>
      </c>
      <c r="N180" s="11">
        <v>-675.56</v>
      </c>
      <c r="O180" s="92">
        <v>0</v>
      </c>
      <c r="P180" s="92"/>
      <c r="Q180" s="12"/>
    </row>
    <row r="181" spans="2:17" s="2" customFormat="1" ht="15.75" x14ac:dyDescent="0.25">
      <c r="B181" s="22">
        <f t="shared" si="10"/>
        <v>177</v>
      </c>
      <c r="C181" s="89" t="s">
        <v>29</v>
      </c>
      <c r="D181" s="89" t="s">
        <v>26</v>
      </c>
      <c r="E181" s="89" t="s">
        <v>393</v>
      </c>
      <c r="F181" s="10">
        <v>44025</v>
      </c>
      <c r="G181" s="89" t="s">
        <v>287</v>
      </c>
      <c r="H181" s="22" t="s">
        <v>14</v>
      </c>
      <c r="I181" s="90">
        <v>13719.58</v>
      </c>
      <c r="J181" s="90">
        <v>5291.61</v>
      </c>
      <c r="K181" s="91">
        <f t="shared" si="11"/>
        <v>0.61430233287024827</v>
      </c>
      <c r="L181" s="90">
        <f>1357.79+O181</f>
        <v>1657.79</v>
      </c>
      <c r="M181" s="91">
        <f t="shared" si="12"/>
        <v>0.1208338739232542</v>
      </c>
      <c r="N181" s="11">
        <v>69.58</v>
      </c>
      <c r="O181" s="92">
        <v>300</v>
      </c>
      <c r="P181" s="92"/>
      <c r="Q181" s="12"/>
    </row>
    <row r="182" spans="2:17" s="2" customFormat="1" ht="15.75" x14ac:dyDescent="0.25">
      <c r="B182" s="22">
        <f t="shared" si="10"/>
        <v>178</v>
      </c>
      <c r="C182" s="89" t="s">
        <v>29</v>
      </c>
      <c r="D182" s="89" t="s">
        <v>33</v>
      </c>
      <c r="E182" s="89" t="s">
        <v>391</v>
      </c>
      <c r="F182" s="10">
        <v>44138</v>
      </c>
      <c r="G182" s="89" t="s">
        <v>288</v>
      </c>
      <c r="H182" s="22" t="s">
        <v>16</v>
      </c>
      <c r="I182" s="90">
        <v>5300.58</v>
      </c>
      <c r="J182" s="90">
        <v>3880.37</v>
      </c>
      <c r="K182" s="91">
        <f t="shared" si="11"/>
        <v>0.2679348297733456</v>
      </c>
      <c r="L182" s="90">
        <v>419.46</v>
      </c>
      <c r="M182" s="91">
        <f t="shared" si="12"/>
        <v>7.9134736198680139E-2</v>
      </c>
      <c r="N182" s="11">
        <v>-508.92</v>
      </c>
      <c r="O182" s="92">
        <v>21.35</v>
      </c>
      <c r="P182" s="92"/>
      <c r="Q182" s="12" t="s">
        <v>289</v>
      </c>
    </row>
    <row r="183" spans="2:17" s="2" customFormat="1" ht="15.75" x14ac:dyDescent="0.25">
      <c r="B183" s="22">
        <f t="shared" si="10"/>
        <v>179</v>
      </c>
      <c r="C183" s="89" t="s">
        <v>29</v>
      </c>
      <c r="D183" s="89" t="s">
        <v>52</v>
      </c>
      <c r="E183" s="89" t="s">
        <v>391</v>
      </c>
      <c r="F183" s="10">
        <v>44071</v>
      </c>
      <c r="G183" s="89" t="s">
        <v>290</v>
      </c>
      <c r="H183" s="22" t="s">
        <v>390</v>
      </c>
      <c r="I183" s="90">
        <v>13639.86</v>
      </c>
      <c r="J183" s="90">
        <v>6970.59</v>
      </c>
      <c r="K183" s="91">
        <f t="shared" si="11"/>
        <v>0.48895443208361378</v>
      </c>
      <c r="L183" s="90">
        <v>995.09</v>
      </c>
      <c r="M183" s="91">
        <f t="shared" si="12"/>
        <v>7.2954561117196212E-2</v>
      </c>
      <c r="N183" s="11">
        <v>-852.24</v>
      </c>
      <c r="O183" s="92">
        <v>0</v>
      </c>
      <c r="P183" s="92"/>
      <c r="Q183" s="12"/>
    </row>
    <row r="184" spans="2:17" s="2" customFormat="1" ht="15.75" x14ac:dyDescent="0.25">
      <c r="B184" s="22">
        <f t="shared" si="10"/>
        <v>180</v>
      </c>
      <c r="C184" s="89" t="s">
        <v>41</v>
      </c>
      <c r="D184" s="89" t="s">
        <v>26</v>
      </c>
      <c r="E184" s="89" t="s">
        <v>27</v>
      </c>
      <c r="F184" s="10">
        <v>44158</v>
      </c>
      <c r="G184" s="89" t="s">
        <v>291</v>
      </c>
      <c r="H184" s="22" t="s">
        <v>19</v>
      </c>
      <c r="I184" s="90">
        <v>7150.32</v>
      </c>
      <c r="J184" s="90">
        <v>3874.77</v>
      </c>
      <c r="K184" s="91">
        <f t="shared" si="11"/>
        <v>0.45809837881381532</v>
      </c>
      <c r="L184" s="90">
        <v>666.03</v>
      </c>
      <c r="M184" s="91">
        <f t="shared" si="12"/>
        <v>9.3146880139630114E-2</v>
      </c>
      <c r="N184" s="11">
        <v>27.12</v>
      </c>
      <c r="O184" s="92">
        <v>0</v>
      </c>
      <c r="P184" s="92"/>
      <c r="Q184" s="12"/>
    </row>
    <row r="185" spans="2:17" s="2" customFormat="1" ht="15.75" x14ac:dyDescent="0.25">
      <c r="B185" s="22">
        <f t="shared" si="10"/>
        <v>181</v>
      </c>
      <c r="C185" s="89" t="s">
        <v>29</v>
      </c>
      <c r="D185" s="89" t="s">
        <v>33</v>
      </c>
      <c r="E185" s="89" t="s">
        <v>27</v>
      </c>
      <c r="F185" s="10">
        <v>44061</v>
      </c>
      <c r="G185" s="89" t="s">
        <v>292</v>
      </c>
      <c r="H185" s="22" t="s">
        <v>14</v>
      </c>
      <c r="I185" s="90">
        <v>12832.45</v>
      </c>
      <c r="J185" s="90">
        <f>5432.98+750</f>
        <v>6182.98</v>
      </c>
      <c r="K185" s="91">
        <f t="shared" si="11"/>
        <v>0.51817618615307293</v>
      </c>
      <c r="L185" s="90">
        <f>932.15+O185</f>
        <v>1232.1500000000001</v>
      </c>
      <c r="M185" s="91">
        <f t="shared" si="12"/>
        <v>9.6018297363325011E-2</v>
      </c>
      <c r="N185" s="11">
        <v>-62.25</v>
      </c>
      <c r="O185" s="92">
        <v>300</v>
      </c>
      <c r="P185" s="92"/>
      <c r="Q185" s="12"/>
    </row>
    <row r="186" spans="2:17" s="2" customFormat="1" ht="15.75" x14ac:dyDescent="0.25">
      <c r="B186" s="22">
        <f t="shared" si="10"/>
        <v>182</v>
      </c>
      <c r="C186" s="89" t="s">
        <v>29</v>
      </c>
      <c r="D186" s="89" t="s">
        <v>33</v>
      </c>
      <c r="E186" s="89" t="s">
        <v>392</v>
      </c>
      <c r="F186" s="10">
        <v>44131</v>
      </c>
      <c r="G186" s="89" t="s">
        <v>293</v>
      </c>
      <c r="H186" s="22" t="s">
        <v>16</v>
      </c>
      <c r="I186" s="90">
        <v>7163.85</v>
      </c>
      <c r="J186" s="90">
        <v>3277.98</v>
      </c>
      <c r="K186" s="91">
        <f t="shared" si="11"/>
        <v>0.54242760526811706</v>
      </c>
      <c r="L186" s="90">
        <v>809.08</v>
      </c>
      <c r="M186" s="91">
        <f t="shared" si="12"/>
        <v>0.112939271481117</v>
      </c>
      <c r="N186" s="11">
        <v>301.75</v>
      </c>
      <c r="O186" s="92">
        <v>0</v>
      </c>
      <c r="P186" s="92"/>
      <c r="Q186" s="12"/>
    </row>
    <row r="187" spans="2:17" s="2" customFormat="1" ht="15.75" x14ac:dyDescent="0.25">
      <c r="B187" s="22">
        <f t="shared" si="10"/>
        <v>183</v>
      </c>
      <c r="C187" s="89" t="s">
        <v>41</v>
      </c>
      <c r="D187" s="89" t="s">
        <v>26</v>
      </c>
      <c r="E187" s="89" t="s">
        <v>395</v>
      </c>
      <c r="F187" s="10">
        <v>44011</v>
      </c>
      <c r="G187" s="89" t="s">
        <v>294</v>
      </c>
      <c r="H187" s="22" t="s">
        <v>30</v>
      </c>
      <c r="I187" s="90">
        <v>17557.05</v>
      </c>
      <c r="J187" s="90">
        <v>7690.25</v>
      </c>
      <c r="K187" s="91">
        <f t="shared" si="11"/>
        <v>0.5619850715239747</v>
      </c>
      <c r="L187" s="90">
        <v>1971.62</v>
      </c>
      <c r="M187" s="91">
        <f t="shared" si="12"/>
        <v>0.11229790881725575</v>
      </c>
      <c r="N187" s="11">
        <v>657.3</v>
      </c>
      <c r="O187" s="92">
        <v>0</v>
      </c>
      <c r="P187" s="92"/>
      <c r="Q187" s="12"/>
    </row>
    <row r="188" spans="2:17" s="2" customFormat="1" ht="15.75" x14ac:dyDescent="0.25">
      <c r="B188" s="22">
        <f t="shared" si="10"/>
        <v>184</v>
      </c>
      <c r="C188" s="89" t="s">
        <v>29</v>
      </c>
      <c r="D188" s="89" t="s">
        <v>188</v>
      </c>
      <c r="E188" s="89" t="s">
        <v>391</v>
      </c>
      <c r="F188" s="10">
        <v>44092</v>
      </c>
      <c r="G188" s="89" t="s">
        <v>295</v>
      </c>
      <c r="H188" s="22" t="s">
        <v>18</v>
      </c>
      <c r="I188" s="90">
        <v>13497.1</v>
      </c>
      <c r="J188" s="90">
        <v>10256.64</v>
      </c>
      <c r="K188" s="91">
        <f t="shared" si="11"/>
        <v>0.24008564802809498</v>
      </c>
      <c r="L188" s="90">
        <v>0</v>
      </c>
      <c r="M188" s="91">
        <f t="shared" si="12"/>
        <v>0</v>
      </c>
      <c r="N188" s="11">
        <v>0</v>
      </c>
      <c r="O188" s="92">
        <v>0</v>
      </c>
      <c r="P188" s="92"/>
      <c r="Q188" s="12" t="s">
        <v>296</v>
      </c>
    </row>
    <row r="189" spans="2:17" s="2" customFormat="1" ht="15.75" x14ac:dyDescent="0.25">
      <c r="B189" s="22">
        <f t="shared" si="10"/>
        <v>185</v>
      </c>
      <c r="C189" s="89" t="s">
        <v>297</v>
      </c>
      <c r="D189" s="89" t="s">
        <v>33</v>
      </c>
      <c r="E189" s="89" t="s">
        <v>27</v>
      </c>
      <c r="F189" s="10">
        <v>44118</v>
      </c>
      <c r="G189" s="89" t="s">
        <v>298</v>
      </c>
      <c r="H189" s="22" t="s">
        <v>30</v>
      </c>
      <c r="I189" s="90">
        <v>13033.74</v>
      </c>
      <c r="J189" s="90">
        <v>5039.58</v>
      </c>
      <c r="K189" s="91">
        <f t="shared" si="11"/>
        <v>0.61334352227372957</v>
      </c>
      <c r="L189" s="90">
        <v>1802.93</v>
      </c>
      <c r="M189" s="91">
        <f t="shared" si="12"/>
        <v>0.13832790895015554</v>
      </c>
      <c r="N189" s="11">
        <v>1415.14</v>
      </c>
      <c r="O189" s="92">
        <v>0</v>
      </c>
      <c r="P189" s="92"/>
      <c r="Q189" s="12"/>
    </row>
    <row r="190" spans="2:17" s="2" customFormat="1" ht="15.75" x14ac:dyDescent="0.25">
      <c r="B190" s="22">
        <f t="shared" si="10"/>
        <v>186</v>
      </c>
      <c r="C190" s="89" t="s">
        <v>29</v>
      </c>
      <c r="D190" s="89" t="s">
        <v>26</v>
      </c>
      <c r="E190" s="89" t="s">
        <v>393</v>
      </c>
      <c r="F190" s="10">
        <v>44061</v>
      </c>
      <c r="G190" s="89" t="s">
        <v>299</v>
      </c>
      <c r="H190" s="22" t="s">
        <v>58</v>
      </c>
      <c r="I190" s="90">
        <v>42184.24</v>
      </c>
      <c r="J190" s="90">
        <v>16535.14</v>
      </c>
      <c r="K190" s="91">
        <f t="shared" si="11"/>
        <v>0.60802565128588304</v>
      </c>
      <c r="L190" s="90">
        <f>3991.96+O190</f>
        <v>4391.96</v>
      </c>
      <c r="M190" s="91">
        <f t="shared" si="12"/>
        <v>0.10411376381321556</v>
      </c>
      <c r="N190" s="11">
        <v>1869.84</v>
      </c>
      <c r="O190" s="92">
        <v>400</v>
      </c>
      <c r="P190" s="92"/>
      <c r="Q190" s="12"/>
    </row>
    <row r="191" spans="2:17" s="2" customFormat="1" ht="15.75" x14ac:dyDescent="0.25">
      <c r="B191" s="22">
        <f t="shared" si="10"/>
        <v>187</v>
      </c>
      <c r="C191" s="89" t="s">
        <v>41</v>
      </c>
      <c r="D191" s="89" t="s">
        <v>31</v>
      </c>
      <c r="E191" s="89" t="s">
        <v>300</v>
      </c>
      <c r="F191" s="10">
        <v>44031</v>
      </c>
      <c r="G191" s="89" t="s">
        <v>165</v>
      </c>
      <c r="H191" s="22" t="s">
        <v>18</v>
      </c>
      <c r="I191" s="90">
        <v>20459.75</v>
      </c>
      <c r="J191" s="90">
        <f>8211.74-681.6</f>
        <v>7530.1399999999994</v>
      </c>
      <c r="K191" s="91">
        <f t="shared" si="11"/>
        <v>0.63195346961717525</v>
      </c>
      <c r="L191" s="90">
        <v>3049.68</v>
      </c>
      <c r="M191" s="91">
        <f t="shared" si="12"/>
        <v>0.14905753980376105</v>
      </c>
      <c r="N191" s="11">
        <v>2884.25</v>
      </c>
      <c r="O191" s="92">
        <v>0</v>
      </c>
      <c r="P191" s="92"/>
      <c r="Q191" s="12"/>
    </row>
    <row r="192" spans="2:17" s="2" customFormat="1" ht="15.75" x14ac:dyDescent="0.25">
      <c r="B192" s="22">
        <f t="shared" si="10"/>
        <v>188</v>
      </c>
      <c r="C192" s="89" t="s">
        <v>38</v>
      </c>
      <c r="D192" s="89" t="s">
        <v>26</v>
      </c>
      <c r="E192" s="89" t="s">
        <v>396</v>
      </c>
      <c r="F192" s="10">
        <v>44070</v>
      </c>
      <c r="G192" s="89" t="s">
        <v>301</v>
      </c>
      <c r="H192" s="22" t="s">
        <v>13</v>
      </c>
      <c r="I192" s="90">
        <v>14662.82</v>
      </c>
      <c r="J192" s="90">
        <v>8348.51</v>
      </c>
      <c r="K192" s="91">
        <f t="shared" si="11"/>
        <v>0.43063407993823832</v>
      </c>
      <c r="L192" s="90">
        <v>1168.28</v>
      </c>
      <c r="M192" s="91">
        <f t="shared" si="12"/>
        <v>7.9676351479456203E-2</v>
      </c>
      <c r="N192" s="11">
        <v>-602.59</v>
      </c>
      <c r="O192" s="92">
        <v>0</v>
      </c>
      <c r="P192" s="92"/>
      <c r="Q192" s="12"/>
    </row>
    <row r="193" spans="2:21" s="2" customFormat="1" ht="15.75" x14ac:dyDescent="0.25">
      <c r="B193" s="22">
        <f t="shared" si="10"/>
        <v>189</v>
      </c>
      <c r="C193" s="89" t="s">
        <v>29</v>
      </c>
      <c r="D193" s="89" t="s">
        <v>31</v>
      </c>
      <c r="E193" s="89" t="s">
        <v>391</v>
      </c>
      <c r="F193" s="10">
        <v>44088</v>
      </c>
      <c r="G193" s="89" t="s">
        <v>51</v>
      </c>
      <c r="H193" s="22" t="s">
        <v>390</v>
      </c>
      <c r="I193" s="90">
        <v>25181.919999999998</v>
      </c>
      <c r="J193" s="90">
        <v>12773.06</v>
      </c>
      <c r="K193" s="91">
        <f t="shared" si="11"/>
        <v>0.49276862129654925</v>
      </c>
      <c r="L193" s="90">
        <v>2378.3200000000002</v>
      </c>
      <c r="M193" s="91">
        <f t="shared" si="12"/>
        <v>9.4445538703959039E-2</v>
      </c>
      <c r="N193" s="11">
        <v>-117.18</v>
      </c>
      <c r="O193" s="92">
        <v>0</v>
      </c>
      <c r="P193" s="92"/>
      <c r="Q193" s="12"/>
    </row>
    <row r="194" spans="2:21" s="2" customFormat="1" ht="15.75" x14ac:dyDescent="0.25">
      <c r="B194" s="22">
        <f t="shared" si="10"/>
        <v>190</v>
      </c>
      <c r="C194" s="89" t="s">
        <v>38</v>
      </c>
      <c r="D194" s="89" t="s">
        <v>31</v>
      </c>
      <c r="E194" s="89" t="s">
        <v>15</v>
      </c>
      <c r="F194" s="10">
        <v>44169</v>
      </c>
      <c r="G194" s="89" t="s">
        <v>302</v>
      </c>
      <c r="H194" s="22" t="s">
        <v>13</v>
      </c>
      <c r="I194" s="90">
        <v>1196.08</v>
      </c>
      <c r="J194" s="90">
        <v>273.73</v>
      </c>
      <c r="K194" s="91">
        <f t="shared" si="11"/>
        <v>0.77114407063072699</v>
      </c>
      <c r="L194" s="90">
        <v>322.24</v>
      </c>
      <c r="M194" s="91">
        <f t="shared" si="12"/>
        <v>0.26941341716273159</v>
      </c>
      <c r="N194" s="11">
        <v>506.58</v>
      </c>
      <c r="O194" s="92">
        <v>0</v>
      </c>
      <c r="P194" s="92"/>
      <c r="Q194" s="12"/>
    </row>
    <row r="195" spans="2:21" s="2" customFormat="1" ht="15.75" x14ac:dyDescent="0.25">
      <c r="B195" s="22">
        <f t="shared" si="10"/>
        <v>191</v>
      </c>
      <c r="C195" s="89" t="s">
        <v>29</v>
      </c>
      <c r="D195" s="89" t="s">
        <v>31</v>
      </c>
      <c r="E195" s="89" t="s">
        <v>27</v>
      </c>
      <c r="F195" s="10">
        <v>44110</v>
      </c>
      <c r="G195" s="89" t="s">
        <v>303</v>
      </c>
      <c r="H195" s="22" t="s">
        <v>24</v>
      </c>
      <c r="I195" s="90">
        <v>4576.59</v>
      </c>
      <c r="J195" s="90">
        <v>1996.57</v>
      </c>
      <c r="K195" s="91">
        <f t="shared" si="11"/>
        <v>0.56374287406125534</v>
      </c>
      <c r="L195" s="90">
        <v>466.34</v>
      </c>
      <c r="M195" s="91">
        <f t="shared" si="12"/>
        <v>0.101896827113637</v>
      </c>
      <c r="N195" s="11">
        <v>221.19</v>
      </c>
      <c r="O195" s="92">
        <v>0</v>
      </c>
      <c r="P195" s="92"/>
      <c r="Q195" s="12"/>
    </row>
    <row r="196" spans="2:21" s="2" customFormat="1" ht="15.75" x14ac:dyDescent="0.25">
      <c r="B196" s="22">
        <f t="shared" si="10"/>
        <v>192</v>
      </c>
      <c r="C196" s="89" t="s">
        <v>29</v>
      </c>
      <c r="D196" s="89" t="s">
        <v>52</v>
      </c>
      <c r="E196" s="89" t="s">
        <v>396</v>
      </c>
      <c r="F196" s="10">
        <v>44110</v>
      </c>
      <c r="G196" s="89" t="s">
        <v>304</v>
      </c>
      <c r="H196" s="22" t="s">
        <v>13</v>
      </c>
      <c r="I196" s="90">
        <v>14368.48</v>
      </c>
      <c r="J196" s="90">
        <v>7389.57</v>
      </c>
      <c r="K196" s="91">
        <f t="shared" si="11"/>
        <v>0.48570969232653699</v>
      </c>
      <c r="L196" s="90">
        <v>1155.22</v>
      </c>
      <c r="M196" s="91">
        <f t="shared" si="12"/>
        <v>8.0399596895426667E-2</v>
      </c>
      <c r="N196" s="11">
        <v>-410.32</v>
      </c>
      <c r="O196" s="92">
        <v>0</v>
      </c>
      <c r="P196" s="92"/>
      <c r="Q196" s="12"/>
    </row>
    <row r="197" spans="2:21" s="2" customFormat="1" ht="15.75" x14ac:dyDescent="0.25">
      <c r="B197" s="22">
        <f t="shared" si="10"/>
        <v>193</v>
      </c>
      <c r="C197" s="89" t="s">
        <v>41</v>
      </c>
      <c r="D197" s="89" t="s">
        <v>39</v>
      </c>
      <c r="E197" s="89" t="s">
        <v>391</v>
      </c>
      <c r="F197" s="10">
        <v>44090</v>
      </c>
      <c r="G197" s="89" t="s">
        <v>279</v>
      </c>
      <c r="H197" s="22" t="s">
        <v>18</v>
      </c>
      <c r="I197" s="90">
        <v>30179.919999999998</v>
      </c>
      <c r="J197" s="90">
        <v>14426.83</v>
      </c>
      <c r="K197" s="91">
        <f t="shared" si="11"/>
        <v>0.5219725565872938</v>
      </c>
      <c r="L197" s="90">
        <v>3352.64</v>
      </c>
      <c r="M197" s="91">
        <f t="shared" si="12"/>
        <v>0.11108843230863436</v>
      </c>
      <c r="N197" s="11">
        <v>1921.62</v>
      </c>
      <c r="O197" s="92">
        <v>0</v>
      </c>
      <c r="P197" s="92"/>
      <c r="Q197" s="12"/>
    </row>
    <row r="198" spans="2:21" s="2" customFormat="1" ht="15.75" x14ac:dyDescent="0.25">
      <c r="B198" s="22">
        <f t="shared" si="10"/>
        <v>194</v>
      </c>
      <c r="C198" s="89" t="s">
        <v>29</v>
      </c>
      <c r="D198" s="89" t="s">
        <v>52</v>
      </c>
      <c r="E198" s="89" t="s">
        <v>391</v>
      </c>
      <c r="F198" s="10">
        <v>44091</v>
      </c>
      <c r="G198" s="89" t="s">
        <v>305</v>
      </c>
      <c r="H198" s="22" t="s">
        <v>16</v>
      </c>
      <c r="I198" s="90">
        <v>8949.25</v>
      </c>
      <c r="J198" s="90">
        <v>4984.97</v>
      </c>
      <c r="K198" s="91">
        <f t="shared" si="11"/>
        <v>0.44297343352794927</v>
      </c>
      <c r="L198" s="90">
        <v>602.91999999999996</v>
      </c>
      <c r="M198" s="91">
        <f t="shared" si="12"/>
        <v>6.7371008743749475E-2</v>
      </c>
      <c r="N198" s="11">
        <v>-549.75</v>
      </c>
      <c r="O198" s="92">
        <v>0</v>
      </c>
      <c r="P198" s="92"/>
      <c r="Q198" s="12"/>
    </row>
    <row r="199" spans="2:21" s="2" customFormat="1" ht="15.75" x14ac:dyDescent="0.25">
      <c r="B199" s="22">
        <f t="shared" ref="B199:B262" si="13">B198+1</f>
        <v>195</v>
      </c>
      <c r="C199" s="89" t="s">
        <v>29</v>
      </c>
      <c r="D199" s="89" t="s">
        <v>26</v>
      </c>
      <c r="E199" s="89" t="s">
        <v>395</v>
      </c>
      <c r="F199" s="10">
        <v>44077</v>
      </c>
      <c r="G199" s="89" t="s">
        <v>306</v>
      </c>
      <c r="H199" s="22" t="s">
        <v>383</v>
      </c>
      <c r="I199" s="90">
        <v>20301.27</v>
      </c>
      <c r="J199" s="90">
        <v>9580.27</v>
      </c>
      <c r="K199" s="91">
        <f t="shared" si="11"/>
        <v>0.52809504035954402</v>
      </c>
      <c r="L199" s="90">
        <v>2119.54</v>
      </c>
      <c r="M199" s="91">
        <f t="shared" si="12"/>
        <v>0.10440430574047831</v>
      </c>
      <c r="N199" s="11">
        <v>766.9</v>
      </c>
      <c r="O199" s="92">
        <v>0</v>
      </c>
      <c r="P199" s="92"/>
      <c r="Q199" s="12"/>
    </row>
    <row r="200" spans="2:21" s="2" customFormat="1" ht="15.75" x14ac:dyDescent="0.25">
      <c r="B200" s="22">
        <f t="shared" si="13"/>
        <v>196</v>
      </c>
      <c r="C200" s="89" t="s">
        <v>29</v>
      </c>
      <c r="D200" s="89" t="s">
        <v>33</v>
      </c>
      <c r="E200" s="89" t="s">
        <v>27</v>
      </c>
      <c r="F200" s="10">
        <v>44116</v>
      </c>
      <c r="G200" s="89" t="s">
        <v>307</v>
      </c>
      <c r="H200" s="22" t="s">
        <v>19</v>
      </c>
      <c r="I200" s="90">
        <v>13904.06</v>
      </c>
      <c r="J200" s="90">
        <v>6432.2</v>
      </c>
      <c r="K200" s="91">
        <f t="shared" si="11"/>
        <v>0.53738692151788758</v>
      </c>
      <c r="L200" s="90">
        <f>1299.67+O200</f>
        <v>1399.67</v>
      </c>
      <c r="M200" s="91">
        <f t="shared" si="12"/>
        <v>0.10066628020880233</v>
      </c>
      <c r="N200" s="11">
        <v>35.659999999999997</v>
      </c>
      <c r="O200" s="92">
        <v>100</v>
      </c>
      <c r="P200" s="92"/>
      <c r="Q200" s="12"/>
    </row>
    <row r="201" spans="2:21" s="2" customFormat="1" ht="15.75" x14ac:dyDescent="0.25">
      <c r="B201" s="22">
        <f t="shared" si="13"/>
        <v>197</v>
      </c>
      <c r="C201" s="89" t="s">
        <v>41</v>
      </c>
      <c r="D201" s="89" t="s">
        <v>33</v>
      </c>
      <c r="E201" s="89" t="s">
        <v>27</v>
      </c>
      <c r="F201" s="10">
        <v>44092</v>
      </c>
      <c r="G201" s="89" t="s">
        <v>308</v>
      </c>
      <c r="H201" s="22" t="s">
        <v>14</v>
      </c>
      <c r="I201" s="90">
        <v>11699.59</v>
      </c>
      <c r="J201" s="90">
        <v>4774.3100000000004</v>
      </c>
      <c r="K201" s="91">
        <f>(I201-J201)/I201</f>
        <v>0.59192501617578053</v>
      </c>
      <c r="L201" s="90">
        <v>1485.3</v>
      </c>
      <c r="M201" s="91">
        <f>L201/I201</f>
        <v>0.12695316673490267</v>
      </c>
      <c r="N201" s="11">
        <v>1150.5899999999999</v>
      </c>
      <c r="O201" s="92">
        <v>0</v>
      </c>
      <c r="P201" s="92"/>
      <c r="Q201" s="12"/>
    </row>
    <row r="202" spans="2:21" s="2" customFormat="1" ht="15.75" x14ac:dyDescent="0.25">
      <c r="B202" s="22">
        <f t="shared" si="13"/>
        <v>198</v>
      </c>
      <c r="C202" s="89" t="s">
        <v>29</v>
      </c>
      <c r="D202" s="89" t="s">
        <v>31</v>
      </c>
      <c r="E202" s="89" t="s">
        <v>395</v>
      </c>
      <c r="F202" s="10">
        <v>44085</v>
      </c>
      <c r="G202" s="89" t="s">
        <v>309</v>
      </c>
      <c r="H202" s="22" t="s">
        <v>14</v>
      </c>
      <c r="I202" s="90">
        <v>14577.06</v>
      </c>
      <c r="J202" s="90">
        <v>6895.97</v>
      </c>
      <c r="K202" s="91">
        <f>(I202-J202)/I202</f>
        <v>0.52692998450990802</v>
      </c>
      <c r="L202" s="90">
        <f>1454.73+O202</f>
        <v>1554.73</v>
      </c>
      <c r="M202" s="91">
        <f>L202/I202</f>
        <v>0.10665593747984847</v>
      </c>
      <c r="N202" s="11">
        <v>507.06</v>
      </c>
      <c r="O202" s="92">
        <v>100</v>
      </c>
      <c r="P202" s="92"/>
      <c r="Q202" s="12"/>
      <c r="U202" s="9"/>
    </row>
    <row r="203" spans="2:21" s="2" customFormat="1" ht="15.75" x14ac:dyDescent="0.25">
      <c r="B203" s="22">
        <f t="shared" si="13"/>
        <v>199</v>
      </c>
      <c r="C203" s="89" t="s">
        <v>29</v>
      </c>
      <c r="D203" s="89" t="s">
        <v>39</v>
      </c>
      <c r="E203" s="89" t="s">
        <v>392</v>
      </c>
      <c r="F203" s="10">
        <v>44086</v>
      </c>
      <c r="G203" s="89" t="s">
        <v>310</v>
      </c>
      <c r="H203" s="22" t="s">
        <v>390</v>
      </c>
      <c r="I203" s="90">
        <v>31981.46</v>
      </c>
      <c r="J203" s="90">
        <v>17014.09</v>
      </c>
      <c r="K203" s="91">
        <f>(I203-J203)/I203</f>
        <v>0.46800146084637784</v>
      </c>
      <c r="L203" s="90">
        <v>3497.43</v>
      </c>
      <c r="M203" s="91">
        <f>L203/I203</f>
        <v>0.1093580468183754</v>
      </c>
      <c r="N203" s="11">
        <v>1428.46</v>
      </c>
      <c r="O203" s="92">
        <v>0</v>
      </c>
      <c r="P203" s="92"/>
      <c r="Q203" s="12" t="s">
        <v>311</v>
      </c>
    </row>
    <row r="204" spans="2:21" s="2" customFormat="1" ht="15.75" x14ac:dyDescent="0.25">
      <c r="B204" s="22">
        <f t="shared" si="13"/>
        <v>200</v>
      </c>
      <c r="C204" s="89" t="s">
        <v>38</v>
      </c>
      <c r="D204" s="89" t="s">
        <v>31</v>
      </c>
      <c r="E204" s="89" t="s">
        <v>396</v>
      </c>
      <c r="F204" s="10">
        <v>44098</v>
      </c>
      <c r="G204" s="89" t="s">
        <v>135</v>
      </c>
      <c r="H204" s="22" t="s">
        <v>13</v>
      </c>
      <c r="I204" s="90">
        <v>14619.48</v>
      </c>
      <c r="J204" s="90">
        <v>7042.75</v>
      </c>
      <c r="K204" s="91">
        <f>(I204-J204)/I204</f>
        <v>0.5182626194638934</v>
      </c>
      <c r="L204" s="90">
        <v>1586.96</v>
      </c>
      <c r="M204" s="91">
        <f>L204/I204</f>
        <v>0.10855105653552657</v>
      </c>
      <c r="N204" s="11">
        <v>519.38</v>
      </c>
      <c r="O204" s="92">
        <v>0</v>
      </c>
      <c r="P204" s="92"/>
      <c r="Q204" s="12"/>
    </row>
    <row r="205" spans="2:21" s="2" customFormat="1" ht="15.75" x14ac:dyDescent="0.25">
      <c r="B205" s="22">
        <f t="shared" si="13"/>
        <v>201</v>
      </c>
      <c r="C205" s="89" t="s">
        <v>41</v>
      </c>
      <c r="D205" s="89" t="s">
        <v>31</v>
      </c>
      <c r="E205" s="89" t="s">
        <v>393</v>
      </c>
      <c r="F205" s="10">
        <v>44088</v>
      </c>
      <c r="G205" s="89" t="s">
        <v>126</v>
      </c>
      <c r="H205" s="22" t="s">
        <v>14</v>
      </c>
      <c r="I205" s="90">
        <v>9014.98</v>
      </c>
      <c r="J205" s="90">
        <f>4257.43-250</f>
        <v>4007.4300000000003</v>
      </c>
      <c r="K205" s="91">
        <f t="shared" si="11"/>
        <v>0.55546989566255267</v>
      </c>
      <c r="L205" s="90">
        <f>194.79+421.6+O205</f>
        <v>866.39</v>
      </c>
      <c r="M205" s="91">
        <f t="shared" si="12"/>
        <v>9.6105593134982001E-2</v>
      </c>
      <c r="N205" s="11">
        <v>-694.02</v>
      </c>
      <c r="O205" s="92">
        <v>250</v>
      </c>
      <c r="P205" s="92"/>
      <c r="Q205" s="12"/>
    </row>
    <row r="206" spans="2:21" s="2" customFormat="1" ht="15.75" x14ac:dyDescent="0.25">
      <c r="B206" s="22">
        <f t="shared" si="13"/>
        <v>202</v>
      </c>
      <c r="C206" s="89" t="s">
        <v>47</v>
      </c>
      <c r="D206" s="89" t="s">
        <v>39</v>
      </c>
      <c r="E206" s="89" t="s">
        <v>391</v>
      </c>
      <c r="F206" s="10">
        <v>44064</v>
      </c>
      <c r="G206" s="89" t="s">
        <v>312</v>
      </c>
      <c r="H206" s="22" t="s">
        <v>16</v>
      </c>
      <c r="I206" s="90">
        <v>11047.18</v>
      </c>
      <c r="J206" s="90">
        <v>5302.18</v>
      </c>
      <c r="K206" s="91">
        <f t="shared" si="11"/>
        <v>0.52004221891921742</v>
      </c>
      <c r="L206" s="90">
        <v>1144.53</v>
      </c>
      <c r="M206" s="91">
        <f t="shared" si="12"/>
        <v>0.10360381563439719</v>
      </c>
      <c r="N206" s="11">
        <v>425.38</v>
      </c>
      <c r="O206" s="92">
        <v>0</v>
      </c>
      <c r="P206" s="92"/>
      <c r="Q206" s="12"/>
    </row>
    <row r="207" spans="2:21" s="2" customFormat="1" ht="15.75" x14ac:dyDescent="0.25">
      <c r="B207" s="22">
        <f t="shared" si="13"/>
        <v>203</v>
      </c>
      <c r="C207" s="89" t="s">
        <v>29</v>
      </c>
      <c r="D207" s="89" t="s">
        <v>31</v>
      </c>
      <c r="E207" s="89" t="s">
        <v>27</v>
      </c>
      <c r="F207" s="10">
        <v>44061</v>
      </c>
      <c r="G207" s="89" t="s">
        <v>313</v>
      </c>
      <c r="H207" s="22" t="s">
        <v>21</v>
      </c>
      <c r="I207" s="90">
        <v>22047.74</v>
      </c>
      <c r="J207" s="90">
        <v>11828.84</v>
      </c>
      <c r="K207" s="91">
        <f t="shared" si="11"/>
        <v>0.46348968193565421</v>
      </c>
      <c r="L207" s="90">
        <f>1106.55+O207</f>
        <v>1506.55</v>
      </c>
      <c r="M207" s="91">
        <f>L207/I207</f>
        <v>6.833126660601041E-2</v>
      </c>
      <c r="N207" s="11">
        <v>-1912.56</v>
      </c>
      <c r="O207" s="92">
        <v>400</v>
      </c>
      <c r="P207" s="92"/>
      <c r="Q207" s="12"/>
    </row>
    <row r="208" spans="2:21" s="2" customFormat="1" ht="15.75" x14ac:dyDescent="0.25">
      <c r="B208" s="22">
        <f t="shared" si="13"/>
        <v>204</v>
      </c>
      <c r="C208" s="89" t="s">
        <v>29</v>
      </c>
      <c r="D208" s="89" t="s">
        <v>31</v>
      </c>
      <c r="E208" s="89" t="s">
        <v>27</v>
      </c>
      <c r="F208" s="10">
        <v>44028</v>
      </c>
      <c r="G208" s="89" t="s">
        <v>314</v>
      </c>
      <c r="H208" s="22" t="s">
        <v>21</v>
      </c>
      <c r="I208" s="90">
        <v>27494.79</v>
      </c>
      <c r="J208" s="90">
        <v>11514.52</v>
      </c>
      <c r="K208" s="91">
        <f t="shared" si="11"/>
        <v>0.58121084030829118</v>
      </c>
      <c r="L208" s="90">
        <v>4599.6499999999996</v>
      </c>
      <c r="M208" s="91">
        <f>L208/I208</f>
        <v>0.16729169417187764</v>
      </c>
      <c r="N208" s="11">
        <v>5278.19</v>
      </c>
      <c r="O208" s="92">
        <v>0</v>
      </c>
      <c r="P208" s="92"/>
      <c r="Q208" s="12"/>
    </row>
    <row r="209" spans="2:22" s="2" customFormat="1" ht="15.75" x14ac:dyDescent="0.25">
      <c r="B209" s="22">
        <f t="shared" si="13"/>
        <v>205</v>
      </c>
      <c r="C209" s="89" t="s">
        <v>35</v>
      </c>
      <c r="D209" s="89" t="s">
        <v>26</v>
      </c>
      <c r="E209" s="89" t="s">
        <v>396</v>
      </c>
      <c r="F209" s="10">
        <v>44105</v>
      </c>
      <c r="G209" s="89" t="s">
        <v>205</v>
      </c>
      <c r="H209" s="22" t="s">
        <v>13</v>
      </c>
      <c r="I209" s="90">
        <v>4979.45</v>
      </c>
      <c r="J209" s="90">
        <v>2447.86</v>
      </c>
      <c r="K209" s="91">
        <f t="shared" si="11"/>
        <v>0.50840755505126067</v>
      </c>
      <c r="L209" s="90">
        <v>506.94</v>
      </c>
      <c r="M209" s="91">
        <f>L209/I209</f>
        <v>0.10180642440430168</v>
      </c>
      <c r="N209" s="11">
        <v>296.25</v>
      </c>
      <c r="O209" s="92">
        <v>0</v>
      </c>
      <c r="P209" s="92"/>
      <c r="Q209" s="12"/>
    </row>
    <row r="210" spans="2:22" s="2" customFormat="1" ht="15.75" x14ac:dyDescent="0.25">
      <c r="B210" s="22">
        <f t="shared" si="13"/>
        <v>206</v>
      </c>
      <c r="C210" s="89" t="s">
        <v>29</v>
      </c>
      <c r="D210" s="89" t="s">
        <v>31</v>
      </c>
      <c r="E210" s="89" t="s">
        <v>27</v>
      </c>
      <c r="F210" s="10">
        <v>44125</v>
      </c>
      <c r="G210" s="89" t="s">
        <v>315</v>
      </c>
      <c r="H210" s="22" t="s">
        <v>14</v>
      </c>
      <c r="I210" s="90">
        <v>7047.97</v>
      </c>
      <c r="J210" s="90">
        <v>2524.64</v>
      </c>
      <c r="K210" s="91">
        <f t="shared" si="11"/>
        <v>0.64179189184970986</v>
      </c>
      <c r="L210" s="90">
        <v>1059.99</v>
      </c>
      <c r="M210" s="91">
        <f t="shared" ref="M210:M216" si="14">L210/I210</f>
        <v>0.15039649714740555</v>
      </c>
      <c r="N210" s="11">
        <v>1111.97</v>
      </c>
      <c r="O210" s="92">
        <v>0</v>
      </c>
      <c r="P210" s="92"/>
      <c r="Q210" s="12"/>
    </row>
    <row r="211" spans="2:22" s="2" customFormat="1" ht="15.75" x14ac:dyDescent="0.25">
      <c r="B211" s="22">
        <f t="shared" si="13"/>
        <v>207</v>
      </c>
      <c r="C211" s="89" t="s">
        <v>29</v>
      </c>
      <c r="D211" s="89" t="s">
        <v>26</v>
      </c>
      <c r="E211" s="89" t="s">
        <v>27</v>
      </c>
      <c r="F211" s="10">
        <v>44117</v>
      </c>
      <c r="G211" s="89" t="s">
        <v>316</v>
      </c>
      <c r="H211" s="22" t="s">
        <v>19</v>
      </c>
      <c r="I211" s="90">
        <v>12050.99</v>
      </c>
      <c r="J211" s="90">
        <v>5565.67</v>
      </c>
      <c r="K211" s="91">
        <f t="shared" si="11"/>
        <v>0.53815661617842181</v>
      </c>
      <c r="L211" s="90">
        <f>1025.54+O211</f>
        <v>1225.54</v>
      </c>
      <c r="M211" s="91">
        <f t="shared" si="14"/>
        <v>0.10169620919111209</v>
      </c>
      <c r="N211" s="11">
        <v>107.59</v>
      </c>
      <c r="O211" s="92">
        <v>200</v>
      </c>
      <c r="P211" s="92"/>
      <c r="Q211" s="12"/>
    </row>
    <row r="212" spans="2:22" s="2" customFormat="1" ht="15.75" x14ac:dyDescent="0.25">
      <c r="B212" s="22">
        <f t="shared" si="13"/>
        <v>208</v>
      </c>
      <c r="C212" s="89" t="s">
        <v>29</v>
      </c>
      <c r="D212" s="89" t="s">
        <v>26</v>
      </c>
      <c r="E212" s="89" t="s">
        <v>393</v>
      </c>
      <c r="F212" s="10">
        <v>44095</v>
      </c>
      <c r="G212" s="89" t="s">
        <v>317</v>
      </c>
      <c r="H212" s="22" t="s">
        <v>58</v>
      </c>
      <c r="I212" s="90">
        <v>49451.22</v>
      </c>
      <c r="J212" s="90">
        <v>19985.11</v>
      </c>
      <c r="K212" s="91">
        <f t="shared" si="11"/>
        <v>0.59586214455376429</v>
      </c>
      <c r="L212" s="90">
        <f>4896.99+O212</f>
        <v>5396.99</v>
      </c>
      <c r="M212" s="91">
        <f t="shared" si="14"/>
        <v>0.10913765120456077</v>
      </c>
      <c r="N212" s="11">
        <v>1029.42</v>
      </c>
      <c r="O212" s="92">
        <v>500</v>
      </c>
      <c r="P212" s="92"/>
      <c r="Q212" s="12"/>
    </row>
    <row r="213" spans="2:22" s="2" customFormat="1" ht="15.75" x14ac:dyDescent="0.25">
      <c r="B213" s="22">
        <f t="shared" si="13"/>
        <v>209</v>
      </c>
      <c r="C213" s="89" t="s">
        <v>35</v>
      </c>
      <c r="D213" s="89" t="s">
        <v>26</v>
      </c>
      <c r="E213" s="89" t="s">
        <v>393</v>
      </c>
      <c r="F213" s="10">
        <v>44046</v>
      </c>
      <c r="G213" s="89" t="s">
        <v>318</v>
      </c>
      <c r="H213" s="22" t="s">
        <v>58</v>
      </c>
      <c r="I213" s="90">
        <v>27199.06</v>
      </c>
      <c r="J213" s="90">
        <v>10765.71</v>
      </c>
      <c r="K213" s="91">
        <f t="shared" si="11"/>
        <v>0.60418815944374549</v>
      </c>
      <c r="L213" s="90">
        <v>4417.24</v>
      </c>
      <c r="M213" s="91">
        <f t="shared" si="14"/>
        <v>0.16240414190784533</v>
      </c>
      <c r="N213" s="11">
        <v>4409.57</v>
      </c>
      <c r="O213" s="92">
        <v>0</v>
      </c>
      <c r="P213" s="92"/>
      <c r="Q213" s="12"/>
    </row>
    <row r="214" spans="2:22" s="2" customFormat="1" ht="15.75" x14ac:dyDescent="0.25">
      <c r="B214" s="22">
        <f t="shared" si="13"/>
        <v>210</v>
      </c>
      <c r="C214" s="89" t="s">
        <v>45</v>
      </c>
      <c r="D214" s="89" t="s">
        <v>26</v>
      </c>
      <c r="E214" s="89" t="s">
        <v>27</v>
      </c>
      <c r="F214" s="10">
        <v>44196</v>
      </c>
      <c r="G214" s="89" t="s">
        <v>319</v>
      </c>
      <c r="H214" s="22" t="s">
        <v>30</v>
      </c>
      <c r="I214" s="90">
        <v>11851.85</v>
      </c>
      <c r="J214" s="90">
        <v>5279.09</v>
      </c>
      <c r="K214" s="91">
        <f t="shared" si="11"/>
        <v>0.55457671165261124</v>
      </c>
      <c r="L214" s="90">
        <v>1280.73</v>
      </c>
      <c r="M214" s="91">
        <f t="shared" si="14"/>
        <v>0.10806161063462666</v>
      </c>
      <c r="N214" s="11">
        <v>343.85</v>
      </c>
      <c r="O214" s="92">
        <v>0</v>
      </c>
      <c r="P214" s="92"/>
      <c r="Q214" s="12"/>
    </row>
    <row r="215" spans="2:22" s="2" customFormat="1" ht="15.75" x14ac:dyDescent="0.25">
      <c r="B215" s="22">
        <f t="shared" si="13"/>
        <v>211</v>
      </c>
      <c r="C215" s="89" t="s">
        <v>41</v>
      </c>
      <c r="D215" s="89" t="s">
        <v>31</v>
      </c>
      <c r="E215" s="89" t="s">
        <v>395</v>
      </c>
      <c r="F215" s="10">
        <v>43985</v>
      </c>
      <c r="G215" s="89" t="s">
        <v>320</v>
      </c>
      <c r="H215" s="22" t="s">
        <v>14</v>
      </c>
      <c r="I215" s="90">
        <v>11818.46</v>
      </c>
      <c r="J215" s="90">
        <v>5046.63</v>
      </c>
      <c r="K215" s="91">
        <f t="shared" ref="K215:K277" si="15">(I215-J215)/I215</f>
        <v>0.572987512755469</v>
      </c>
      <c r="L215" s="90">
        <f>1229.73+O215</f>
        <v>1279.73</v>
      </c>
      <c r="M215" s="91">
        <f t="shared" si="14"/>
        <v>0.10828229735515457</v>
      </c>
      <c r="N215" s="11">
        <v>639.46</v>
      </c>
      <c r="O215" s="92">
        <v>50</v>
      </c>
      <c r="P215" s="92"/>
      <c r="Q215" s="12"/>
    </row>
    <row r="216" spans="2:22" s="2" customFormat="1" ht="15.75" x14ac:dyDescent="0.25">
      <c r="B216" s="22">
        <f t="shared" si="13"/>
        <v>212</v>
      </c>
      <c r="C216" s="89" t="s">
        <v>29</v>
      </c>
      <c r="D216" s="89" t="s">
        <v>31</v>
      </c>
      <c r="E216" s="89" t="s">
        <v>391</v>
      </c>
      <c r="F216" s="10">
        <v>44082</v>
      </c>
      <c r="G216" s="89" t="s">
        <v>321</v>
      </c>
      <c r="H216" s="22" t="s">
        <v>16</v>
      </c>
      <c r="I216" s="90">
        <v>11654.23</v>
      </c>
      <c r="J216" s="90">
        <v>5914.5</v>
      </c>
      <c r="K216" s="91">
        <f t="shared" si="15"/>
        <v>0.49250186413001973</v>
      </c>
      <c r="L216" s="90">
        <v>1101.55</v>
      </c>
      <c r="M216" s="91">
        <f t="shared" si="14"/>
        <v>9.4519329033320942E-2</v>
      </c>
      <c r="N216" s="11">
        <v>85.33</v>
      </c>
      <c r="O216" s="92">
        <v>0</v>
      </c>
      <c r="P216" s="92"/>
      <c r="Q216" s="12"/>
    </row>
    <row r="217" spans="2:22" s="2" customFormat="1" ht="15.75" x14ac:dyDescent="0.25">
      <c r="B217" s="22">
        <f t="shared" si="13"/>
        <v>213</v>
      </c>
      <c r="C217" s="89" t="s">
        <v>322</v>
      </c>
      <c r="D217" s="89" t="s">
        <v>33</v>
      </c>
      <c r="E217" s="89" t="s">
        <v>392</v>
      </c>
      <c r="F217" s="10">
        <v>44078</v>
      </c>
      <c r="G217" s="89" t="s">
        <v>323</v>
      </c>
      <c r="H217" s="22" t="s">
        <v>16</v>
      </c>
      <c r="I217" s="90">
        <v>7342.74</v>
      </c>
      <c r="J217" s="90">
        <v>3895.18</v>
      </c>
      <c r="K217" s="91">
        <f t="shared" si="15"/>
        <v>0.46951955264655976</v>
      </c>
      <c r="L217" s="90">
        <v>553.78</v>
      </c>
      <c r="M217" s="91">
        <f>L217/I217</f>
        <v>7.5418712905536631E-2</v>
      </c>
      <c r="N217" s="11">
        <v>-323.24</v>
      </c>
      <c r="O217" s="92">
        <v>0</v>
      </c>
      <c r="P217" s="92"/>
      <c r="Q217" s="12"/>
    </row>
    <row r="218" spans="2:22" s="2" customFormat="1" ht="15.75" x14ac:dyDescent="0.25">
      <c r="B218" s="22">
        <f t="shared" si="13"/>
        <v>214</v>
      </c>
      <c r="C218" s="89" t="s">
        <v>177</v>
      </c>
      <c r="D218" s="89" t="s">
        <v>31</v>
      </c>
      <c r="E218" s="89" t="s">
        <v>396</v>
      </c>
      <c r="F218" s="10">
        <v>44030</v>
      </c>
      <c r="G218" s="89" t="s">
        <v>324</v>
      </c>
      <c r="H218" s="22" t="s">
        <v>20</v>
      </c>
      <c r="I218" s="90">
        <v>64489.78</v>
      </c>
      <c r="J218" s="90">
        <v>31839.9</v>
      </c>
      <c r="K218" s="91">
        <f t="shared" si="15"/>
        <v>0.50627990977795234</v>
      </c>
      <c r="L218" s="90">
        <f>5491.24+O218</f>
        <v>5991.24</v>
      </c>
      <c r="M218" s="91">
        <f>L218/I218</f>
        <v>9.2902162172052688E-2</v>
      </c>
      <c r="N218" s="11">
        <v>-1597.22</v>
      </c>
      <c r="O218" s="92">
        <v>500</v>
      </c>
      <c r="P218" s="92"/>
      <c r="Q218" s="12"/>
      <c r="V218" s="5"/>
    </row>
    <row r="219" spans="2:22" s="2" customFormat="1" ht="15.75" x14ac:dyDescent="0.25">
      <c r="B219" s="22">
        <f t="shared" si="13"/>
        <v>215</v>
      </c>
      <c r="C219" s="89" t="s">
        <v>41</v>
      </c>
      <c r="D219" s="89" t="s">
        <v>31</v>
      </c>
      <c r="E219" s="89" t="s">
        <v>27</v>
      </c>
      <c r="F219" s="10">
        <v>44163</v>
      </c>
      <c r="G219" s="89" t="s">
        <v>325</v>
      </c>
      <c r="H219" s="22" t="s">
        <v>19</v>
      </c>
      <c r="I219" s="90">
        <v>6337.02</v>
      </c>
      <c r="J219" s="90">
        <v>2859.16</v>
      </c>
      <c r="K219" s="91">
        <f t="shared" si="15"/>
        <v>0.54881632060495322</v>
      </c>
      <c r="L219" s="90">
        <f>411.35+O219</f>
        <v>561.35</v>
      </c>
      <c r="M219" s="91">
        <f>L219/I219</f>
        <v>8.8582646101795476E-2</v>
      </c>
      <c r="N219" s="11">
        <v>-349.38</v>
      </c>
      <c r="O219" s="92">
        <v>150</v>
      </c>
      <c r="P219" s="92"/>
      <c r="Q219" s="12"/>
    </row>
    <row r="220" spans="2:22" s="2" customFormat="1" ht="15.75" x14ac:dyDescent="0.25">
      <c r="B220" s="22">
        <f t="shared" si="13"/>
        <v>216</v>
      </c>
      <c r="C220" s="89" t="s">
        <v>29</v>
      </c>
      <c r="D220" s="89" t="s">
        <v>33</v>
      </c>
      <c r="E220" s="89" t="s">
        <v>392</v>
      </c>
      <c r="F220" s="10">
        <v>44125</v>
      </c>
      <c r="G220" s="89" t="s">
        <v>326</v>
      </c>
      <c r="H220" s="22" t="s">
        <v>390</v>
      </c>
      <c r="I220" s="90">
        <v>18936.73</v>
      </c>
      <c r="J220" s="90">
        <v>9325.9699999999993</v>
      </c>
      <c r="K220" s="91">
        <f t="shared" si="15"/>
        <v>0.50751951366471404</v>
      </c>
      <c r="L220" s="90">
        <v>2167.37</v>
      </c>
      <c r="M220" s="91">
        <f t="shared" ref="M220:M277" si="16">L220/I220</f>
        <v>0.11445323453415664</v>
      </c>
      <c r="N220" s="11">
        <v>1724.43</v>
      </c>
      <c r="O220" s="92">
        <v>0</v>
      </c>
      <c r="P220" s="92"/>
      <c r="Q220" s="12"/>
    </row>
    <row r="221" spans="2:22" s="2" customFormat="1" ht="15.75" x14ac:dyDescent="0.25">
      <c r="B221" s="22">
        <f t="shared" si="13"/>
        <v>217</v>
      </c>
      <c r="C221" s="89" t="s">
        <v>81</v>
      </c>
      <c r="D221" s="89" t="s">
        <v>39</v>
      </c>
      <c r="E221" s="89" t="s">
        <v>391</v>
      </c>
      <c r="F221" s="10">
        <v>44099</v>
      </c>
      <c r="G221" s="89" t="s">
        <v>327</v>
      </c>
      <c r="H221" s="22" t="s">
        <v>390</v>
      </c>
      <c r="I221" s="90">
        <v>19125.36</v>
      </c>
      <c r="J221" s="90">
        <v>11098.84</v>
      </c>
      <c r="K221" s="91">
        <f t="shared" si="15"/>
        <v>0.41967942041352424</v>
      </c>
      <c r="L221" s="90">
        <v>1482.65</v>
      </c>
      <c r="M221" s="91">
        <f t="shared" si="16"/>
        <v>7.7522723755265269E-2</v>
      </c>
      <c r="N221" s="11">
        <v>-969.54</v>
      </c>
      <c r="O221" s="92">
        <v>0</v>
      </c>
      <c r="P221" s="92"/>
      <c r="Q221" s="12"/>
    </row>
    <row r="222" spans="2:22" s="2" customFormat="1" ht="15.75" x14ac:dyDescent="0.25">
      <c r="B222" s="22">
        <f t="shared" si="13"/>
        <v>218</v>
      </c>
      <c r="C222" s="89" t="s">
        <v>29</v>
      </c>
      <c r="D222" s="89" t="s">
        <v>39</v>
      </c>
      <c r="E222" s="89" t="s">
        <v>391</v>
      </c>
      <c r="F222" s="10">
        <v>44095</v>
      </c>
      <c r="G222" s="89" t="s">
        <v>43</v>
      </c>
      <c r="H222" s="22" t="s">
        <v>18</v>
      </c>
      <c r="I222" s="90">
        <v>37994.9</v>
      </c>
      <c r="J222" s="90">
        <v>17007.060000000001</v>
      </c>
      <c r="K222" s="91">
        <f>(I222-J222)/I222</f>
        <v>0.55238571492489785</v>
      </c>
      <c r="L222" s="90">
        <v>4927.17</v>
      </c>
      <c r="M222" s="91">
        <f>L222/I222</f>
        <v>0.12967977281161419</v>
      </c>
      <c r="N222" s="11">
        <v>3879.7</v>
      </c>
      <c r="O222" s="92">
        <v>0</v>
      </c>
      <c r="P222" s="92"/>
      <c r="Q222" s="12"/>
    </row>
    <row r="223" spans="2:22" s="2" customFormat="1" ht="15.75" x14ac:dyDescent="0.25">
      <c r="B223" s="22">
        <f t="shared" si="13"/>
        <v>219</v>
      </c>
      <c r="C223" s="89" t="s">
        <v>45</v>
      </c>
      <c r="D223" s="89" t="s">
        <v>39</v>
      </c>
      <c r="E223" s="89" t="s">
        <v>392</v>
      </c>
      <c r="F223" s="10">
        <v>44004</v>
      </c>
      <c r="G223" s="89" t="s">
        <v>328</v>
      </c>
      <c r="H223" s="22" t="s">
        <v>390</v>
      </c>
      <c r="I223" s="90">
        <v>17391.3</v>
      </c>
      <c r="J223" s="90">
        <v>7310.72</v>
      </c>
      <c r="K223" s="91">
        <f>(I223-J223)/I223</f>
        <v>0.57963349490837368</v>
      </c>
      <c r="L223" s="90">
        <v>2049.4299999999998</v>
      </c>
      <c r="M223" s="91">
        <f>L223/I223</f>
        <v>0.11784225446056361</v>
      </c>
      <c r="N223" s="11">
        <v>965.8</v>
      </c>
      <c r="O223" s="92">
        <v>0</v>
      </c>
      <c r="P223" s="92"/>
      <c r="Q223" s="12"/>
    </row>
    <row r="224" spans="2:22" s="2" customFormat="1" ht="15.75" x14ac:dyDescent="0.25">
      <c r="B224" s="22">
        <f t="shared" si="13"/>
        <v>220</v>
      </c>
      <c r="C224" s="89" t="s">
        <v>29</v>
      </c>
      <c r="D224" s="89" t="s">
        <v>31</v>
      </c>
      <c r="E224" s="89" t="s">
        <v>391</v>
      </c>
      <c r="F224" s="10">
        <v>44084</v>
      </c>
      <c r="G224" s="89" t="s">
        <v>329</v>
      </c>
      <c r="H224" s="22" t="s">
        <v>16</v>
      </c>
      <c r="I224" s="90">
        <v>8276.2199999999993</v>
      </c>
      <c r="J224" s="90">
        <v>4524.8</v>
      </c>
      <c r="K224" s="91">
        <f>(I224-J224)/I224</f>
        <v>0.45327697910398701</v>
      </c>
      <c r="L224" s="90">
        <f>405.43+O224</f>
        <v>505.43</v>
      </c>
      <c r="M224" s="91">
        <f>L224/I224</f>
        <v>6.107015038266262E-2</v>
      </c>
      <c r="N224" s="11">
        <v>-985.48</v>
      </c>
      <c r="O224" s="92">
        <v>100</v>
      </c>
      <c r="P224" s="92"/>
      <c r="Q224" s="12"/>
    </row>
    <row r="225" spans="2:17" s="2" customFormat="1" ht="15.75" x14ac:dyDescent="0.25">
      <c r="B225" s="22">
        <f t="shared" si="13"/>
        <v>221</v>
      </c>
      <c r="C225" s="89" t="s">
        <v>38</v>
      </c>
      <c r="D225" s="89" t="s">
        <v>26</v>
      </c>
      <c r="E225" s="89" t="s">
        <v>393</v>
      </c>
      <c r="F225" s="10">
        <v>43955</v>
      </c>
      <c r="G225" s="89" t="s">
        <v>330</v>
      </c>
      <c r="H225" s="22" t="s">
        <v>57</v>
      </c>
      <c r="I225" s="90">
        <v>32088.68</v>
      </c>
      <c r="J225" s="90">
        <v>11086.69</v>
      </c>
      <c r="K225" s="91">
        <f>(I225-J225)/I225</f>
        <v>0.65449840878465548</v>
      </c>
      <c r="L225" s="90">
        <v>3763.32</v>
      </c>
      <c r="M225" s="91">
        <f>L225/I225</f>
        <v>0.11727874128820506</v>
      </c>
      <c r="N225" s="11">
        <v>2640.78</v>
      </c>
      <c r="O225" s="92">
        <v>0</v>
      </c>
      <c r="P225" s="92"/>
      <c r="Q225" s="12"/>
    </row>
    <row r="226" spans="2:17" s="2" customFormat="1" ht="15.75" x14ac:dyDescent="0.25">
      <c r="B226" s="22">
        <f t="shared" si="13"/>
        <v>222</v>
      </c>
      <c r="C226" s="89" t="s">
        <v>29</v>
      </c>
      <c r="D226" s="89" t="s">
        <v>26</v>
      </c>
      <c r="E226" s="89" t="s">
        <v>27</v>
      </c>
      <c r="F226" s="10">
        <v>44132</v>
      </c>
      <c r="G226" s="89" t="s">
        <v>331</v>
      </c>
      <c r="H226" s="22" t="s">
        <v>57</v>
      </c>
      <c r="I226" s="90">
        <v>43267.67</v>
      </c>
      <c r="J226" s="90">
        <v>15172.74</v>
      </c>
      <c r="K226" s="91">
        <f t="shared" si="15"/>
        <v>0.64932847088830992</v>
      </c>
      <c r="L226" s="90">
        <v>4856.46</v>
      </c>
      <c r="M226" s="91">
        <f t="shared" si="16"/>
        <v>0.11224223536881002</v>
      </c>
      <c r="N226" s="11">
        <v>2195.4699999999998</v>
      </c>
      <c r="O226" s="92">
        <v>0</v>
      </c>
      <c r="P226" s="92"/>
      <c r="Q226" s="12"/>
    </row>
    <row r="227" spans="2:17" s="2" customFormat="1" ht="15.75" x14ac:dyDescent="0.25">
      <c r="B227" s="22">
        <f t="shared" si="13"/>
        <v>223</v>
      </c>
      <c r="C227" s="89" t="s">
        <v>29</v>
      </c>
      <c r="D227" s="89" t="s">
        <v>26</v>
      </c>
      <c r="E227" s="89" t="s">
        <v>395</v>
      </c>
      <c r="F227" s="10">
        <v>44169</v>
      </c>
      <c r="G227" s="89" t="s">
        <v>332</v>
      </c>
      <c r="H227" s="22" t="s">
        <v>14</v>
      </c>
      <c r="I227" s="90">
        <v>7323.29</v>
      </c>
      <c r="J227" s="90">
        <v>2673.38</v>
      </c>
      <c r="K227" s="91">
        <f t="shared" si="15"/>
        <v>0.6349482268215515</v>
      </c>
      <c r="L227" s="90">
        <f>829.45+O227</f>
        <v>879.45</v>
      </c>
      <c r="M227" s="91">
        <f t="shared" si="16"/>
        <v>0.12008946798501767</v>
      </c>
      <c r="N227" s="11">
        <v>449.29</v>
      </c>
      <c r="O227" s="92">
        <v>50</v>
      </c>
      <c r="P227" s="92"/>
      <c r="Q227" s="12"/>
    </row>
    <row r="228" spans="2:17" s="2" customFormat="1" ht="15.75" x14ac:dyDescent="0.25">
      <c r="B228" s="22">
        <f t="shared" si="13"/>
        <v>224</v>
      </c>
      <c r="C228" s="89" t="s">
        <v>333</v>
      </c>
      <c r="D228" s="89" t="s">
        <v>31</v>
      </c>
      <c r="E228" s="89" t="s">
        <v>34</v>
      </c>
      <c r="F228" s="10">
        <v>44134</v>
      </c>
      <c r="G228" s="89" t="s">
        <v>334</v>
      </c>
      <c r="H228" s="22" t="s">
        <v>13</v>
      </c>
      <c r="I228" s="90">
        <v>14995.46</v>
      </c>
      <c r="J228" s="90">
        <v>8193.56</v>
      </c>
      <c r="K228" s="91">
        <f t="shared" si="15"/>
        <v>0.45359728877940392</v>
      </c>
      <c r="L228" s="90">
        <v>1194.5</v>
      </c>
      <c r="M228" s="91">
        <f t="shared" si="16"/>
        <v>7.9657442986077118E-2</v>
      </c>
      <c r="N228" s="11">
        <v>-419.39</v>
      </c>
      <c r="O228" s="92">
        <v>0</v>
      </c>
      <c r="P228" s="92"/>
      <c r="Q228" s="12"/>
    </row>
    <row r="229" spans="2:17" s="2" customFormat="1" ht="15.75" x14ac:dyDescent="0.25">
      <c r="B229" s="22">
        <f t="shared" si="13"/>
        <v>225</v>
      </c>
      <c r="C229" s="89" t="s">
        <v>41</v>
      </c>
      <c r="D229" s="89" t="s">
        <v>39</v>
      </c>
      <c r="E229" s="89" t="s">
        <v>391</v>
      </c>
      <c r="F229" s="10">
        <v>44142</v>
      </c>
      <c r="G229" s="89" t="s">
        <v>335</v>
      </c>
      <c r="H229" s="22" t="s">
        <v>16</v>
      </c>
      <c r="I229" s="90">
        <v>7880.21</v>
      </c>
      <c r="J229" s="90">
        <v>3523.01</v>
      </c>
      <c r="K229" s="91">
        <f t="shared" si="15"/>
        <v>0.5529294270076559</v>
      </c>
      <c r="L229" s="90">
        <v>1085.08</v>
      </c>
      <c r="M229" s="91">
        <f t="shared" si="16"/>
        <v>0.13769683802842816</v>
      </c>
      <c r="N229" s="11">
        <v>820.71</v>
      </c>
      <c r="O229" s="92">
        <v>0</v>
      </c>
      <c r="P229" s="92"/>
      <c r="Q229" s="12"/>
    </row>
    <row r="230" spans="2:17" s="2" customFormat="1" ht="15.75" x14ac:dyDescent="0.25">
      <c r="B230" s="22">
        <f t="shared" si="13"/>
        <v>226</v>
      </c>
      <c r="C230" s="89" t="s">
        <v>29</v>
      </c>
      <c r="D230" s="89" t="s">
        <v>39</v>
      </c>
      <c r="E230" s="89" t="s">
        <v>391</v>
      </c>
      <c r="F230" s="10">
        <v>44133</v>
      </c>
      <c r="G230" s="89" t="s">
        <v>165</v>
      </c>
      <c r="H230" s="22" t="s">
        <v>16</v>
      </c>
      <c r="I230" s="90">
        <v>7508.69</v>
      </c>
      <c r="J230" s="90">
        <v>3621.95</v>
      </c>
      <c r="K230" s="91">
        <f t="shared" si="15"/>
        <v>0.51763223678164905</v>
      </c>
      <c r="L230" s="90">
        <v>948.47</v>
      </c>
      <c r="M230" s="91">
        <f t="shared" si="16"/>
        <v>0.12631630817093262</v>
      </c>
      <c r="N230" s="11">
        <v>563.99</v>
      </c>
      <c r="O230" s="92">
        <v>0</v>
      </c>
      <c r="P230" s="92"/>
      <c r="Q230" s="12"/>
    </row>
    <row r="231" spans="2:17" s="2" customFormat="1" ht="15.75" x14ac:dyDescent="0.25">
      <c r="B231" s="22">
        <f t="shared" si="13"/>
        <v>227</v>
      </c>
      <c r="C231" s="89" t="s">
        <v>38</v>
      </c>
      <c r="D231" s="89" t="s">
        <v>52</v>
      </c>
      <c r="E231" s="89" t="s">
        <v>392</v>
      </c>
      <c r="F231" s="10">
        <v>44156</v>
      </c>
      <c r="G231" s="89" t="s">
        <v>336</v>
      </c>
      <c r="H231" s="22" t="s">
        <v>390</v>
      </c>
      <c r="I231" s="90">
        <v>13500.12</v>
      </c>
      <c r="J231" s="90">
        <v>5928.13</v>
      </c>
      <c r="K231" s="91">
        <f t="shared" si="15"/>
        <v>0.56088316252003689</v>
      </c>
      <c r="L231" s="90">
        <f>1291.18+O231</f>
        <v>1391.18</v>
      </c>
      <c r="M231" s="91">
        <f t="shared" si="16"/>
        <v>0.10304945437522037</v>
      </c>
      <c r="N231" s="11">
        <v>10.42</v>
      </c>
      <c r="O231" s="92">
        <v>100</v>
      </c>
      <c r="P231" s="92"/>
      <c r="Q231" s="12"/>
    </row>
    <row r="232" spans="2:17" s="2" customFormat="1" ht="15.75" x14ac:dyDescent="0.25">
      <c r="B232" s="22">
        <f t="shared" si="13"/>
        <v>228</v>
      </c>
      <c r="C232" s="89" t="s">
        <v>322</v>
      </c>
      <c r="D232" s="89" t="s">
        <v>33</v>
      </c>
      <c r="E232" s="89" t="s">
        <v>392</v>
      </c>
      <c r="F232" s="10">
        <v>44078</v>
      </c>
      <c r="G232" s="89" t="s">
        <v>337</v>
      </c>
      <c r="H232" s="22" t="s">
        <v>16</v>
      </c>
      <c r="I232" s="90">
        <v>11932.53</v>
      </c>
      <c r="J232" s="90">
        <v>7584.19</v>
      </c>
      <c r="K232" s="91">
        <f t="shared" si="15"/>
        <v>0.36441056506876585</v>
      </c>
      <c r="L232" s="90">
        <v>656.79</v>
      </c>
      <c r="M232" s="91">
        <f t="shared" si="16"/>
        <v>5.5041973495981146E-2</v>
      </c>
      <c r="N232" s="11">
        <v>-1097.55</v>
      </c>
      <c r="O232" s="92">
        <v>114.05</v>
      </c>
      <c r="P232" s="92"/>
      <c r="Q232" s="12"/>
    </row>
    <row r="233" spans="2:17" s="2" customFormat="1" ht="15.75" x14ac:dyDescent="0.25">
      <c r="B233" s="22">
        <f t="shared" si="13"/>
        <v>229</v>
      </c>
      <c r="C233" s="89" t="s">
        <v>29</v>
      </c>
      <c r="D233" s="89" t="s">
        <v>53</v>
      </c>
      <c r="E233" s="89" t="s">
        <v>392</v>
      </c>
      <c r="F233" s="10">
        <v>44125</v>
      </c>
      <c r="G233" s="89" t="s">
        <v>338</v>
      </c>
      <c r="H233" s="22" t="s">
        <v>20</v>
      </c>
      <c r="I233" s="90">
        <v>5745.53</v>
      </c>
      <c r="J233" s="90">
        <v>2434.23</v>
      </c>
      <c r="K233" s="91">
        <f t="shared" si="15"/>
        <v>0.57632629191736884</v>
      </c>
      <c r="L233" s="90">
        <v>784.32</v>
      </c>
      <c r="M233" s="91">
        <f t="shared" si="16"/>
        <v>0.13650959963658707</v>
      </c>
      <c r="N233" s="11">
        <v>592.28</v>
      </c>
      <c r="O233" s="92">
        <v>0</v>
      </c>
      <c r="P233" s="92"/>
      <c r="Q233" s="12"/>
    </row>
    <row r="234" spans="2:17" s="2" customFormat="1" ht="15.75" x14ac:dyDescent="0.25">
      <c r="B234" s="22">
        <f t="shared" si="13"/>
        <v>230</v>
      </c>
      <c r="C234" s="89" t="s">
        <v>29</v>
      </c>
      <c r="D234" s="89" t="s">
        <v>33</v>
      </c>
      <c r="E234" s="89" t="s">
        <v>228</v>
      </c>
      <c r="F234" s="10">
        <v>44012</v>
      </c>
      <c r="G234" s="89" t="s">
        <v>339</v>
      </c>
      <c r="H234" s="22" t="s">
        <v>14</v>
      </c>
      <c r="I234" s="90">
        <v>25278.33</v>
      </c>
      <c r="J234" s="90">
        <v>13039.96</v>
      </c>
      <c r="K234" s="91">
        <f t="shared" si="15"/>
        <v>0.48414472000325975</v>
      </c>
      <c r="L234" s="90">
        <v>2057.13</v>
      </c>
      <c r="M234" s="91">
        <f t="shared" si="16"/>
        <v>8.1379189210679659E-2</v>
      </c>
      <c r="N234" s="11">
        <v>-208.67</v>
      </c>
      <c r="O234" s="92">
        <v>0</v>
      </c>
      <c r="P234" s="92"/>
      <c r="Q234" s="12" t="s">
        <v>340</v>
      </c>
    </row>
    <row r="235" spans="2:17" s="2" customFormat="1" ht="15.75" x14ac:dyDescent="0.25">
      <c r="B235" s="22">
        <f t="shared" si="13"/>
        <v>231</v>
      </c>
      <c r="C235" s="89" t="s">
        <v>29</v>
      </c>
      <c r="D235" s="89" t="s">
        <v>33</v>
      </c>
      <c r="E235" s="89" t="s">
        <v>391</v>
      </c>
      <c r="F235" s="10">
        <v>44040</v>
      </c>
      <c r="G235" s="89" t="s">
        <v>341</v>
      </c>
      <c r="H235" s="22" t="s">
        <v>390</v>
      </c>
      <c r="I235" s="90">
        <v>25815.99</v>
      </c>
      <c r="J235" s="90">
        <v>13743.64</v>
      </c>
      <c r="K235" s="91">
        <f t="shared" si="15"/>
        <v>0.46763072034037823</v>
      </c>
      <c r="L235" s="90">
        <v>1570.06</v>
      </c>
      <c r="M235" s="91">
        <f t="shared" si="16"/>
        <v>6.0817346148646624E-2</v>
      </c>
      <c r="N235" s="11">
        <v>2279.89</v>
      </c>
      <c r="O235" s="92">
        <v>0</v>
      </c>
      <c r="P235" s="92"/>
      <c r="Q235" s="12" t="s">
        <v>342</v>
      </c>
    </row>
    <row r="236" spans="2:17" s="2" customFormat="1" ht="15.75" x14ac:dyDescent="0.25">
      <c r="B236" s="22">
        <f t="shared" si="13"/>
        <v>232</v>
      </c>
      <c r="C236" s="89" t="s">
        <v>38</v>
      </c>
      <c r="D236" s="89" t="s">
        <v>26</v>
      </c>
      <c r="E236" s="89" t="s">
        <v>27</v>
      </c>
      <c r="F236" s="10">
        <v>44001</v>
      </c>
      <c r="G236" s="89" t="s">
        <v>343</v>
      </c>
      <c r="H236" s="22" t="s">
        <v>57</v>
      </c>
      <c r="I236" s="90">
        <v>32625.439999999999</v>
      </c>
      <c r="J236" s="90">
        <v>15111.17</v>
      </c>
      <c r="K236" s="91">
        <f t="shared" si="15"/>
        <v>0.53682862208141857</v>
      </c>
      <c r="L236" s="90">
        <f>2965.19+O236</f>
        <v>3165.19</v>
      </c>
      <c r="M236" s="91">
        <f t="shared" si="16"/>
        <v>9.7016009592514316E-2</v>
      </c>
      <c r="N236" s="11">
        <v>581.54</v>
      </c>
      <c r="O236" s="92">
        <v>200</v>
      </c>
      <c r="P236" s="92"/>
      <c r="Q236" s="12"/>
    </row>
    <row r="237" spans="2:17" s="2" customFormat="1" ht="15.75" x14ac:dyDescent="0.25">
      <c r="B237" s="22">
        <f t="shared" si="13"/>
        <v>233</v>
      </c>
      <c r="C237" s="89" t="s">
        <v>81</v>
      </c>
      <c r="D237" s="89" t="s">
        <v>52</v>
      </c>
      <c r="E237" s="89" t="s">
        <v>344</v>
      </c>
      <c r="F237" s="10">
        <v>44183</v>
      </c>
      <c r="G237" s="89" t="s">
        <v>345</v>
      </c>
      <c r="H237" s="22" t="s">
        <v>16</v>
      </c>
      <c r="I237" s="90">
        <v>7446.06</v>
      </c>
      <c r="J237" s="90">
        <v>6141.62</v>
      </c>
      <c r="K237" s="91">
        <f t="shared" si="15"/>
        <v>0.17518526576471322</v>
      </c>
      <c r="L237" s="90">
        <v>324.02</v>
      </c>
      <c r="M237" s="91">
        <f t="shared" si="16"/>
        <v>4.3515631085433097E-2</v>
      </c>
      <c r="N237" s="11">
        <v>-1674.94</v>
      </c>
      <c r="O237" s="92">
        <v>277.39</v>
      </c>
      <c r="P237" s="92"/>
      <c r="Q237" s="12"/>
    </row>
    <row r="238" spans="2:17" s="2" customFormat="1" ht="15.75" x14ac:dyDescent="0.25">
      <c r="B238" s="22">
        <f t="shared" si="13"/>
        <v>234</v>
      </c>
      <c r="C238" s="89" t="s">
        <v>29</v>
      </c>
      <c r="D238" s="89" t="s">
        <v>31</v>
      </c>
      <c r="E238" s="89" t="s">
        <v>34</v>
      </c>
      <c r="F238" s="10">
        <v>44195</v>
      </c>
      <c r="G238" s="89" t="s">
        <v>346</v>
      </c>
      <c r="H238" s="22" t="s">
        <v>223</v>
      </c>
      <c r="I238" s="90">
        <v>11446.5</v>
      </c>
      <c r="J238" s="90">
        <v>5638.61</v>
      </c>
      <c r="K238" s="91">
        <f t="shared" si="15"/>
        <v>0.50739440003494518</v>
      </c>
      <c r="L238" s="90">
        <v>843.27</v>
      </c>
      <c r="M238" s="91">
        <f t="shared" si="16"/>
        <v>7.3670554317913778E-2</v>
      </c>
      <c r="N238" s="11">
        <v>-692.2</v>
      </c>
      <c r="O238" s="92">
        <v>0</v>
      </c>
      <c r="P238" s="92"/>
      <c r="Q238" s="12"/>
    </row>
    <row r="239" spans="2:17" s="2" customFormat="1" ht="15.75" x14ac:dyDescent="0.25">
      <c r="B239" s="22">
        <f t="shared" si="13"/>
        <v>235</v>
      </c>
      <c r="C239" s="89" t="s">
        <v>29</v>
      </c>
      <c r="D239" s="89" t="s">
        <v>39</v>
      </c>
      <c r="E239" s="89" t="s">
        <v>391</v>
      </c>
      <c r="F239" s="10">
        <v>44138</v>
      </c>
      <c r="G239" s="89" t="s">
        <v>347</v>
      </c>
      <c r="H239" s="22" t="s">
        <v>18</v>
      </c>
      <c r="I239" s="90">
        <v>30201.63</v>
      </c>
      <c r="J239" s="90">
        <v>12280.75</v>
      </c>
      <c r="K239" s="91">
        <f t="shared" si="15"/>
        <v>0.59337459600690423</v>
      </c>
      <c r="L239" s="90">
        <v>3702.86</v>
      </c>
      <c r="M239" s="91">
        <f t="shared" si="16"/>
        <v>0.12260464087534348</v>
      </c>
      <c r="N239" s="11">
        <v>3050.73</v>
      </c>
      <c r="O239" s="92">
        <v>0</v>
      </c>
      <c r="P239" s="92"/>
      <c r="Q239" s="12"/>
    </row>
    <row r="240" spans="2:17" s="2" customFormat="1" ht="15.75" x14ac:dyDescent="0.25">
      <c r="B240" s="22">
        <f t="shared" si="13"/>
        <v>236</v>
      </c>
      <c r="C240" s="89" t="s">
        <v>29</v>
      </c>
      <c r="D240" s="89" t="s">
        <v>39</v>
      </c>
      <c r="E240" s="89" t="s">
        <v>391</v>
      </c>
      <c r="F240" s="10">
        <v>44075</v>
      </c>
      <c r="G240" s="89" t="s">
        <v>348</v>
      </c>
      <c r="H240" s="22" t="s">
        <v>18</v>
      </c>
      <c r="I240" s="90">
        <v>18539.98</v>
      </c>
      <c r="J240" s="90">
        <v>9390.81</v>
      </c>
      <c r="K240" s="91">
        <f t="shared" si="15"/>
        <v>0.4934832723659896</v>
      </c>
      <c r="L240" s="90">
        <v>1617.92</v>
      </c>
      <c r="M240" s="91">
        <f t="shared" si="16"/>
        <v>8.7266545055604161E-2</v>
      </c>
      <c r="N240" s="11">
        <v>306.52</v>
      </c>
      <c r="O240" s="92">
        <v>0</v>
      </c>
      <c r="P240" s="92">
        <v>300</v>
      </c>
      <c r="Q240" s="12"/>
    </row>
    <row r="241" spans="2:17" s="2" customFormat="1" ht="15.75" x14ac:dyDescent="0.25">
      <c r="B241" s="22">
        <f t="shared" si="13"/>
        <v>237</v>
      </c>
      <c r="C241" s="89" t="s">
        <v>29</v>
      </c>
      <c r="D241" s="89" t="s">
        <v>39</v>
      </c>
      <c r="E241" s="89" t="s">
        <v>391</v>
      </c>
      <c r="F241" s="10">
        <v>44097</v>
      </c>
      <c r="G241" s="89" t="s">
        <v>349</v>
      </c>
      <c r="H241" s="22" t="s">
        <v>18</v>
      </c>
      <c r="I241" s="90">
        <v>18076.48</v>
      </c>
      <c r="J241" s="90">
        <v>8893.9699999999993</v>
      </c>
      <c r="K241" s="91">
        <f t="shared" si="15"/>
        <v>0.50798108923861285</v>
      </c>
      <c r="L241" s="90">
        <v>2109.6799999999998</v>
      </c>
      <c r="M241" s="91">
        <f t="shared" si="16"/>
        <v>0.11670856272902688</v>
      </c>
      <c r="N241" s="11">
        <v>1345.78</v>
      </c>
      <c r="O241" s="92">
        <v>0</v>
      </c>
      <c r="P241" s="92"/>
      <c r="Q241" s="12"/>
    </row>
    <row r="242" spans="2:17" s="2" customFormat="1" ht="15.75" x14ac:dyDescent="0.25">
      <c r="B242" s="22">
        <f t="shared" si="13"/>
        <v>238</v>
      </c>
      <c r="C242" s="89" t="s">
        <v>38</v>
      </c>
      <c r="D242" s="89" t="s">
        <v>39</v>
      </c>
      <c r="E242" s="89" t="s">
        <v>392</v>
      </c>
      <c r="F242" s="10">
        <v>44182</v>
      </c>
      <c r="G242" s="89" t="s">
        <v>350</v>
      </c>
      <c r="H242" s="22" t="s">
        <v>390</v>
      </c>
      <c r="I242" s="90">
        <v>17532.68</v>
      </c>
      <c r="J242" s="90">
        <v>10734.99</v>
      </c>
      <c r="K242" s="91">
        <f t="shared" si="15"/>
        <v>0.38771539776006864</v>
      </c>
      <c r="L242" s="90">
        <v>672.96</v>
      </c>
      <c r="M242" s="91">
        <f t="shared" si="16"/>
        <v>3.8383179297175336E-2</v>
      </c>
      <c r="N242" s="11">
        <v>-3736.12</v>
      </c>
      <c r="O242" s="92">
        <v>486.24</v>
      </c>
      <c r="P242" s="92"/>
      <c r="Q242" s="12"/>
    </row>
    <row r="243" spans="2:17" s="2" customFormat="1" ht="15.75" x14ac:dyDescent="0.25">
      <c r="B243" s="22">
        <f t="shared" si="13"/>
        <v>239</v>
      </c>
      <c r="C243" s="89" t="s">
        <v>29</v>
      </c>
      <c r="D243" s="89" t="s">
        <v>26</v>
      </c>
      <c r="E243" s="89" t="s">
        <v>27</v>
      </c>
      <c r="F243" s="10">
        <v>44143</v>
      </c>
      <c r="G243" s="89" t="s">
        <v>46</v>
      </c>
      <c r="H243" s="22" t="s">
        <v>14</v>
      </c>
      <c r="I243" s="90">
        <v>21311.7</v>
      </c>
      <c r="J243" s="90">
        <v>8568.75</v>
      </c>
      <c r="K243" s="91">
        <f t="shared" si="15"/>
        <v>0.59793212179225497</v>
      </c>
      <c r="L243" s="90">
        <f>2470.75+O243</f>
        <v>2570.75</v>
      </c>
      <c r="M243" s="91">
        <f t="shared" si="16"/>
        <v>0.12062622878512741</v>
      </c>
      <c r="N243" s="11">
        <v>1452.7</v>
      </c>
      <c r="O243" s="92">
        <v>100</v>
      </c>
      <c r="P243" s="92"/>
      <c r="Q243" s="12"/>
    </row>
    <row r="244" spans="2:17" s="2" customFormat="1" ht="15.75" x14ac:dyDescent="0.25">
      <c r="B244" s="22">
        <f t="shared" si="13"/>
        <v>240</v>
      </c>
      <c r="C244" s="89" t="s">
        <v>333</v>
      </c>
      <c r="D244" s="89" t="s">
        <v>31</v>
      </c>
      <c r="E244" s="89" t="s">
        <v>27</v>
      </c>
      <c r="F244" s="10">
        <v>44103</v>
      </c>
      <c r="G244" s="89" t="s">
        <v>351</v>
      </c>
      <c r="H244" s="22" t="s">
        <v>14</v>
      </c>
      <c r="I244" s="90">
        <v>19461.849999999999</v>
      </c>
      <c r="J244" s="90">
        <v>7871.16</v>
      </c>
      <c r="K244" s="91">
        <f t="shared" si="15"/>
        <v>0.5955595177231352</v>
      </c>
      <c r="L244" s="90">
        <f>1736.51+O244</f>
        <v>1836.51</v>
      </c>
      <c r="M244" s="91">
        <f t="shared" si="16"/>
        <v>9.4364615902393659E-2</v>
      </c>
      <c r="N244" s="11">
        <v>-201.15</v>
      </c>
      <c r="O244" s="92">
        <v>100</v>
      </c>
      <c r="P244" s="92"/>
      <c r="Q244" s="12"/>
    </row>
    <row r="245" spans="2:17" s="2" customFormat="1" ht="15.75" x14ac:dyDescent="0.25">
      <c r="B245" s="22">
        <f t="shared" si="13"/>
        <v>241</v>
      </c>
      <c r="C245" s="89" t="s">
        <v>41</v>
      </c>
      <c r="D245" s="89" t="s">
        <v>26</v>
      </c>
      <c r="E245" s="89" t="s">
        <v>393</v>
      </c>
      <c r="F245" s="10">
        <v>44102</v>
      </c>
      <c r="G245" s="89" t="s">
        <v>352</v>
      </c>
      <c r="H245" s="22" t="s">
        <v>58</v>
      </c>
      <c r="I245" s="90">
        <v>54662.33</v>
      </c>
      <c r="J245" s="90">
        <v>20291.3</v>
      </c>
      <c r="K245" s="91">
        <f t="shared" si="15"/>
        <v>0.62878823496912772</v>
      </c>
      <c r="L245" s="90">
        <f>5352.01+O245</f>
        <v>6052.01</v>
      </c>
      <c r="M245" s="91">
        <f t="shared" si="16"/>
        <v>0.11071628304172179</v>
      </c>
      <c r="N245" s="11">
        <v>2286.9299999999998</v>
      </c>
      <c r="O245" s="92">
        <v>700</v>
      </c>
      <c r="P245" s="92"/>
      <c r="Q245" s="12"/>
    </row>
    <row r="246" spans="2:17" s="2" customFormat="1" ht="15.75" x14ac:dyDescent="0.25">
      <c r="B246" s="22">
        <f t="shared" si="13"/>
        <v>242</v>
      </c>
      <c r="C246" s="89" t="s">
        <v>29</v>
      </c>
      <c r="D246" s="89" t="s">
        <v>26</v>
      </c>
      <c r="E246" s="89" t="s">
        <v>27</v>
      </c>
      <c r="F246" s="10">
        <v>44107</v>
      </c>
      <c r="G246" s="89" t="s">
        <v>353</v>
      </c>
      <c r="H246" s="22" t="s">
        <v>58</v>
      </c>
      <c r="I246" s="90">
        <v>29663.97</v>
      </c>
      <c r="J246" s="90">
        <v>10193.85</v>
      </c>
      <c r="K246" s="91">
        <f t="shared" si="15"/>
        <v>0.65635584178382067</v>
      </c>
      <c r="L246" s="90">
        <f>3889.72+O246</f>
        <v>4089.72</v>
      </c>
      <c r="M246" s="91">
        <f t="shared" si="16"/>
        <v>0.1378682624072233</v>
      </c>
      <c r="N246" s="11">
        <v>3209.56</v>
      </c>
      <c r="O246" s="92">
        <v>200</v>
      </c>
      <c r="P246" s="92"/>
      <c r="Q246" s="12"/>
    </row>
    <row r="247" spans="2:17" s="2" customFormat="1" ht="15.75" x14ac:dyDescent="0.25">
      <c r="B247" s="22">
        <f t="shared" si="13"/>
        <v>243</v>
      </c>
      <c r="C247" s="89" t="s">
        <v>29</v>
      </c>
      <c r="D247" s="89" t="s">
        <v>26</v>
      </c>
      <c r="E247" s="89" t="s">
        <v>27</v>
      </c>
      <c r="F247" s="10">
        <v>44120</v>
      </c>
      <c r="G247" s="89" t="s">
        <v>101</v>
      </c>
      <c r="H247" s="22" t="s">
        <v>57</v>
      </c>
      <c r="I247" s="90">
        <v>32259.56</v>
      </c>
      <c r="J247" s="90">
        <v>13666.5</v>
      </c>
      <c r="K247" s="91">
        <f t="shared" si="15"/>
        <v>0.57635814003662789</v>
      </c>
      <c r="L247" s="90">
        <v>3418.34</v>
      </c>
      <c r="M247" s="91">
        <f t="shared" si="16"/>
        <v>0.10596362752622789</v>
      </c>
      <c r="N247" s="11">
        <v>1682.16</v>
      </c>
      <c r="O247" s="92">
        <v>0</v>
      </c>
      <c r="P247" s="92"/>
      <c r="Q247" s="12"/>
    </row>
    <row r="248" spans="2:17" s="2" customFormat="1" ht="15.75" x14ac:dyDescent="0.25">
      <c r="B248" s="22">
        <f t="shared" si="13"/>
        <v>244</v>
      </c>
      <c r="C248" s="89" t="s">
        <v>333</v>
      </c>
      <c r="D248" s="89" t="s">
        <v>31</v>
      </c>
      <c r="E248" s="89" t="s">
        <v>34</v>
      </c>
      <c r="F248" s="10">
        <v>44183</v>
      </c>
      <c r="G248" s="89" t="s">
        <v>354</v>
      </c>
      <c r="H248" s="22" t="s">
        <v>13</v>
      </c>
      <c r="I248" s="90">
        <v>8794.8799999999992</v>
      </c>
      <c r="J248" s="90">
        <v>5061.1000000000004</v>
      </c>
      <c r="K248" s="91">
        <f t="shared" si="15"/>
        <v>0.42454018701790125</v>
      </c>
      <c r="L248" s="90">
        <v>452.86</v>
      </c>
      <c r="M248" s="91">
        <f t="shared" si="16"/>
        <v>5.1491322223839328E-2</v>
      </c>
      <c r="N248" s="11">
        <v>-787.72</v>
      </c>
      <c r="O248" s="92">
        <v>0</v>
      </c>
      <c r="P248" s="92"/>
      <c r="Q248" s="12"/>
    </row>
    <row r="249" spans="2:17" s="2" customFormat="1" ht="15.75" x14ac:dyDescent="0.25">
      <c r="B249" s="22">
        <f t="shared" si="13"/>
        <v>245</v>
      </c>
      <c r="C249" s="89" t="s">
        <v>38</v>
      </c>
      <c r="D249" s="89" t="s">
        <v>39</v>
      </c>
      <c r="E249" s="89" t="s">
        <v>391</v>
      </c>
      <c r="F249" s="10">
        <v>44036</v>
      </c>
      <c r="G249" s="89" t="s">
        <v>355</v>
      </c>
      <c r="H249" s="22" t="s">
        <v>18</v>
      </c>
      <c r="I249" s="90">
        <v>36979.83</v>
      </c>
      <c r="J249" s="90">
        <v>15578.94</v>
      </c>
      <c r="K249" s="91">
        <f t="shared" si="15"/>
        <v>0.57871791189954092</v>
      </c>
      <c r="L249" s="90">
        <v>3882.98</v>
      </c>
      <c r="M249" s="91">
        <f t="shared" si="16"/>
        <v>0.10500264603704235</v>
      </c>
      <c r="N249" s="11">
        <v>3182.56</v>
      </c>
      <c r="O249" s="92">
        <v>0</v>
      </c>
      <c r="P249" s="92"/>
      <c r="Q249" s="12"/>
    </row>
    <row r="250" spans="2:17" s="2" customFormat="1" ht="15.75" x14ac:dyDescent="0.25">
      <c r="B250" s="22">
        <f t="shared" si="13"/>
        <v>246</v>
      </c>
      <c r="C250" s="89" t="s">
        <v>29</v>
      </c>
      <c r="D250" s="89" t="s">
        <v>39</v>
      </c>
      <c r="E250" s="89" t="s">
        <v>391</v>
      </c>
      <c r="F250" s="10">
        <v>44110</v>
      </c>
      <c r="G250" s="89" t="s">
        <v>304</v>
      </c>
      <c r="H250" s="22" t="s">
        <v>18</v>
      </c>
      <c r="I250" s="90">
        <v>25028.97</v>
      </c>
      <c r="J250" s="90">
        <v>11308.75</v>
      </c>
      <c r="K250" s="91">
        <f t="shared" si="15"/>
        <v>0.54817357645959863</v>
      </c>
      <c r="L250" s="90">
        <v>2717.61</v>
      </c>
      <c r="M250" s="91">
        <f t="shared" si="16"/>
        <v>0.10857857914248968</v>
      </c>
      <c r="N250" s="11">
        <v>1577.93</v>
      </c>
      <c r="O250" s="92">
        <v>0</v>
      </c>
      <c r="P250" s="92"/>
      <c r="Q250" s="12" t="s">
        <v>356</v>
      </c>
    </row>
    <row r="251" spans="2:17" s="2" customFormat="1" ht="15.75" x14ac:dyDescent="0.25">
      <c r="B251" s="22">
        <f t="shared" si="13"/>
        <v>247</v>
      </c>
      <c r="C251" s="89" t="s">
        <v>29</v>
      </c>
      <c r="D251" s="89" t="s">
        <v>39</v>
      </c>
      <c r="E251" s="89" t="s">
        <v>391</v>
      </c>
      <c r="F251" s="10">
        <v>44148</v>
      </c>
      <c r="G251" s="89" t="s">
        <v>357</v>
      </c>
      <c r="H251" s="22" t="s">
        <v>18</v>
      </c>
      <c r="I251" s="90">
        <v>53888.4</v>
      </c>
      <c r="J251" s="90">
        <v>24795.88</v>
      </c>
      <c r="K251" s="91">
        <f t="shared" si="15"/>
        <v>0.53986609363054017</v>
      </c>
      <c r="L251" s="90">
        <v>5726.85</v>
      </c>
      <c r="M251" s="91">
        <f t="shared" si="16"/>
        <v>0.10627240741977866</v>
      </c>
      <c r="N251" s="11">
        <v>2766.56</v>
      </c>
      <c r="O251" s="92">
        <v>0</v>
      </c>
      <c r="P251" s="92"/>
      <c r="Q251" s="12"/>
    </row>
    <row r="252" spans="2:17" s="2" customFormat="1" ht="15.75" x14ac:dyDescent="0.25">
      <c r="B252" s="22">
        <f t="shared" si="13"/>
        <v>248</v>
      </c>
      <c r="C252" s="89" t="s">
        <v>29</v>
      </c>
      <c r="D252" s="89" t="s">
        <v>52</v>
      </c>
      <c r="E252" s="89" t="s">
        <v>391</v>
      </c>
      <c r="F252" s="10">
        <v>44110</v>
      </c>
      <c r="G252" s="89" t="s">
        <v>304</v>
      </c>
      <c r="H252" s="22" t="s">
        <v>390</v>
      </c>
      <c r="I252" s="90">
        <v>24427.47</v>
      </c>
      <c r="J252" s="90">
        <v>14682.85</v>
      </c>
      <c r="K252" s="91">
        <f t="shared" si="15"/>
        <v>0.39892055951762506</v>
      </c>
      <c r="L252" s="90">
        <v>1641.55</v>
      </c>
      <c r="M252" s="91">
        <f t="shared" si="16"/>
        <v>6.7200983155439348E-2</v>
      </c>
      <c r="N252" s="11">
        <v>826.32</v>
      </c>
      <c r="O252" s="92">
        <v>0</v>
      </c>
      <c r="P252" s="92"/>
      <c r="Q252" s="12"/>
    </row>
    <row r="253" spans="2:17" s="2" customFormat="1" ht="15.75" x14ac:dyDescent="0.25">
      <c r="B253" s="22">
        <f t="shared" si="13"/>
        <v>249</v>
      </c>
      <c r="C253" s="89" t="s">
        <v>41</v>
      </c>
      <c r="D253" s="89" t="s">
        <v>39</v>
      </c>
      <c r="E253" s="89" t="s">
        <v>344</v>
      </c>
      <c r="F253" s="10">
        <v>44124</v>
      </c>
      <c r="G253" s="89" t="s">
        <v>358</v>
      </c>
      <c r="H253" s="22" t="s">
        <v>18</v>
      </c>
      <c r="I253" s="90">
        <v>5014.51</v>
      </c>
      <c r="J253" s="90">
        <v>2374.23</v>
      </c>
      <c r="K253" s="91">
        <f t="shared" si="15"/>
        <v>0.5265280156984431</v>
      </c>
      <c r="L253" s="90">
        <v>785.32</v>
      </c>
      <c r="M253" s="91">
        <f t="shared" si="16"/>
        <v>0.15660951917535312</v>
      </c>
      <c r="N253" s="11">
        <v>757.11</v>
      </c>
      <c r="O253" s="92">
        <v>0</v>
      </c>
      <c r="P253" s="92"/>
      <c r="Q253" s="12"/>
    </row>
    <row r="254" spans="2:17" s="2" customFormat="1" ht="15.75" x14ac:dyDescent="0.25">
      <c r="B254" s="22">
        <f t="shared" si="13"/>
        <v>250</v>
      </c>
      <c r="C254" s="89" t="s">
        <v>29</v>
      </c>
      <c r="D254" s="89" t="s">
        <v>26</v>
      </c>
      <c r="E254" s="89" t="s">
        <v>27</v>
      </c>
      <c r="F254" s="10">
        <v>44139</v>
      </c>
      <c r="G254" s="89" t="s">
        <v>359</v>
      </c>
      <c r="H254" s="22" t="s">
        <v>21</v>
      </c>
      <c r="I254" s="90">
        <v>24565.47</v>
      </c>
      <c r="J254" s="90">
        <v>12649.66</v>
      </c>
      <c r="K254" s="91">
        <f t="shared" si="15"/>
        <v>0.48506338368449703</v>
      </c>
      <c r="L254" s="90">
        <f>1636.29+O254</f>
        <v>1736.29</v>
      </c>
      <c r="M254" s="91">
        <f t="shared" si="16"/>
        <v>7.0680105041751692E-2</v>
      </c>
      <c r="N254" s="11">
        <v>14.37</v>
      </c>
      <c r="O254" s="92">
        <v>100</v>
      </c>
      <c r="P254" s="92"/>
      <c r="Q254" s="12"/>
    </row>
    <row r="255" spans="2:17" s="2" customFormat="1" ht="15.75" x14ac:dyDescent="0.25">
      <c r="B255" s="22">
        <f t="shared" si="13"/>
        <v>251</v>
      </c>
      <c r="C255" s="89" t="s">
        <v>29</v>
      </c>
      <c r="D255" s="89" t="s">
        <v>26</v>
      </c>
      <c r="E255" s="89" t="s">
        <v>393</v>
      </c>
      <c r="F255" s="10">
        <v>44028</v>
      </c>
      <c r="G255" s="89" t="s">
        <v>360</v>
      </c>
      <c r="H255" s="22" t="s">
        <v>59</v>
      </c>
      <c r="I255" s="90">
        <v>13348.78</v>
      </c>
      <c r="J255" s="90">
        <v>5784.09</v>
      </c>
      <c r="K255" s="91">
        <f t="shared" si="15"/>
        <v>0.56669523357190699</v>
      </c>
      <c r="L255" s="90">
        <f>1239.87+O255</f>
        <v>1439.87</v>
      </c>
      <c r="M255" s="91">
        <f t="shared" si="16"/>
        <v>0.1078652880637781</v>
      </c>
      <c r="N255" s="11">
        <v>409.98</v>
      </c>
      <c r="O255" s="92">
        <v>200</v>
      </c>
      <c r="P255" s="92"/>
      <c r="Q255" s="12"/>
    </row>
    <row r="256" spans="2:17" s="2" customFormat="1" ht="15.75" x14ac:dyDescent="0.25">
      <c r="B256" s="22">
        <f t="shared" si="13"/>
        <v>252</v>
      </c>
      <c r="C256" s="89" t="s">
        <v>29</v>
      </c>
      <c r="D256" s="89" t="s">
        <v>39</v>
      </c>
      <c r="E256" s="89" t="s">
        <v>391</v>
      </c>
      <c r="F256" s="10">
        <v>44180</v>
      </c>
      <c r="G256" s="89" t="s">
        <v>361</v>
      </c>
      <c r="H256" s="22" t="s">
        <v>18</v>
      </c>
      <c r="I256" s="90">
        <v>25955.97</v>
      </c>
      <c r="J256" s="90">
        <v>15503.48</v>
      </c>
      <c r="K256" s="91">
        <f t="shared" si="15"/>
        <v>0.40270080447773676</v>
      </c>
      <c r="L256" s="90">
        <v>2325.2399999999998</v>
      </c>
      <c r="M256" s="91">
        <f t="shared" si="16"/>
        <v>8.9584014775791448E-2</v>
      </c>
      <c r="N256" s="11">
        <v>128.77000000000001</v>
      </c>
      <c r="O256" s="92">
        <v>0</v>
      </c>
      <c r="P256" s="92">
        <v>840</v>
      </c>
      <c r="Q256" s="12"/>
    </row>
    <row r="257" spans="2:17" s="2" customFormat="1" ht="15.75" x14ac:dyDescent="0.25">
      <c r="B257" s="22">
        <f t="shared" si="13"/>
        <v>253</v>
      </c>
      <c r="C257" s="89" t="s">
        <v>29</v>
      </c>
      <c r="D257" s="89" t="s">
        <v>33</v>
      </c>
      <c r="E257" s="89" t="s">
        <v>392</v>
      </c>
      <c r="F257" s="10">
        <v>44098</v>
      </c>
      <c r="G257" s="89" t="s">
        <v>362</v>
      </c>
      <c r="H257" s="22" t="s">
        <v>20</v>
      </c>
      <c r="I257" s="90">
        <v>10196.06</v>
      </c>
      <c r="J257" s="90">
        <v>6747.99</v>
      </c>
      <c r="K257" s="91">
        <f t="shared" si="15"/>
        <v>0.33817670747327888</v>
      </c>
      <c r="L257" s="90">
        <v>787.57</v>
      </c>
      <c r="M257" s="91">
        <f t="shared" si="16"/>
        <v>7.7242581938513508E-2</v>
      </c>
      <c r="N257" s="11">
        <v>-149.24</v>
      </c>
      <c r="O257" s="92">
        <v>0</v>
      </c>
      <c r="P257" s="92">
        <v>329.97</v>
      </c>
      <c r="Q257" s="12"/>
    </row>
    <row r="258" spans="2:17" s="2" customFormat="1" ht="15.75" x14ac:dyDescent="0.25">
      <c r="B258" s="22">
        <f t="shared" si="13"/>
        <v>254</v>
      </c>
      <c r="C258" s="89" t="s">
        <v>29</v>
      </c>
      <c r="D258" s="89" t="s">
        <v>52</v>
      </c>
      <c r="E258" s="89" t="s">
        <v>391</v>
      </c>
      <c r="F258" s="10">
        <v>44076</v>
      </c>
      <c r="G258" s="89" t="s">
        <v>363</v>
      </c>
      <c r="H258" s="22" t="s">
        <v>390</v>
      </c>
      <c r="I258" s="90">
        <v>22485.279999999999</v>
      </c>
      <c r="J258" s="90">
        <v>9204.9500000000007</v>
      </c>
      <c r="K258" s="91">
        <f t="shared" si="15"/>
        <v>0.59062328776870909</v>
      </c>
      <c r="L258" s="90">
        <v>2686.82</v>
      </c>
      <c r="M258" s="91">
        <f t="shared" si="16"/>
        <v>0.11949239680359774</v>
      </c>
      <c r="N258" s="11">
        <v>1275.98</v>
      </c>
      <c r="O258" s="92">
        <v>0</v>
      </c>
      <c r="P258" s="92"/>
      <c r="Q258" s="12"/>
    </row>
    <row r="259" spans="2:17" s="2" customFormat="1" ht="15.75" x14ac:dyDescent="0.25">
      <c r="B259" s="22">
        <f t="shared" si="13"/>
        <v>255</v>
      </c>
      <c r="C259" s="89" t="s">
        <v>29</v>
      </c>
      <c r="D259" s="89" t="s">
        <v>31</v>
      </c>
      <c r="E259" s="89" t="s">
        <v>34</v>
      </c>
      <c r="F259" s="10">
        <v>44191</v>
      </c>
      <c r="G259" s="89" t="s">
        <v>364</v>
      </c>
      <c r="H259" s="22" t="s">
        <v>13</v>
      </c>
      <c r="I259" s="90">
        <v>6776.36</v>
      </c>
      <c r="J259" s="90">
        <v>2648.24</v>
      </c>
      <c r="K259" s="91">
        <f t="shared" si="15"/>
        <v>0.60919431671280744</v>
      </c>
      <c r="L259" s="90">
        <v>963.68</v>
      </c>
      <c r="M259" s="91">
        <f t="shared" si="16"/>
        <v>0.14221204304375801</v>
      </c>
      <c r="N259" s="11">
        <v>651.36</v>
      </c>
      <c r="O259" s="92">
        <v>50</v>
      </c>
      <c r="P259" s="92">
        <v>109.65</v>
      </c>
      <c r="Q259" s="12"/>
    </row>
    <row r="260" spans="2:17" s="2" customFormat="1" ht="15.75" x14ac:dyDescent="0.25">
      <c r="B260" s="22">
        <f t="shared" si="13"/>
        <v>256</v>
      </c>
      <c r="C260" s="89" t="s">
        <v>29</v>
      </c>
      <c r="D260" s="89" t="s">
        <v>39</v>
      </c>
      <c r="E260" s="89" t="s">
        <v>391</v>
      </c>
      <c r="F260" s="10">
        <v>44143</v>
      </c>
      <c r="G260" s="89" t="s">
        <v>365</v>
      </c>
      <c r="H260" s="22" t="s">
        <v>18</v>
      </c>
      <c r="I260" s="90">
        <v>20936.27</v>
      </c>
      <c r="J260" s="90">
        <v>9892.48</v>
      </c>
      <c r="K260" s="91">
        <f t="shared" si="15"/>
        <v>0.52749558541230124</v>
      </c>
      <c r="L260" s="90">
        <v>2362.13</v>
      </c>
      <c r="M260" s="91">
        <f t="shared" si="16"/>
        <v>0.11282477728840906</v>
      </c>
      <c r="N260" s="11">
        <v>1462.97</v>
      </c>
      <c r="O260" s="92">
        <v>0</v>
      </c>
      <c r="P260" s="92">
        <v>15</v>
      </c>
      <c r="Q260" s="12"/>
    </row>
    <row r="261" spans="2:17" s="2" customFormat="1" ht="15.75" x14ac:dyDescent="0.25">
      <c r="B261" s="22">
        <f t="shared" si="13"/>
        <v>257</v>
      </c>
      <c r="C261" s="89" t="s">
        <v>38</v>
      </c>
      <c r="D261" s="89" t="s">
        <v>39</v>
      </c>
      <c r="E261" s="89" t="s">
        <v>392</v>
      </c>
      <c r="F261" s="10">
        <v>44068</v>
      </c>
      <c r="G261" s="89" t="s">
        <v>366</v>
      </c>
      <c r="H261" s="22" t="s">
        <v>16</v>
      </c>
      <c r="I261" s="90">
        <v>12437.58</v>
      </c>
      <c r="J261" s="90">
        <v>7283.24</v>
      </c>
      <c r="K261" s="91">
        <f t="shared" si="15"/>
        <v>0.41441663088800235</v>
      </c>
      <c r="L261" s="90">
        <v>940.37</v>
      </c>
      <c r="M261" s="91">
        <f t="shared" si="16"/>
        <v>7.5607151873595985E-2</v>
      </c>
      <c r="N261" s="11">
        <v>-753.22</v>
      </c>
      <c r="O261" s="92">
        <v>0</v>
      </c>
      <c r="P261" s="92"/>
      <c r="Q261" s="12"/>
    </row>
    <row r="262" spans="2:17" s="2" customFormat="1" ht="15.75" x14ac:dyDescent="0.25">
      <c r="B262" s="22">
        <f t="shared" si="13"/>
        <v>258</v>
      </c>
      <c r="C262" s="89" t="s">
        <v>29</v>
      </c>
      <c r="D262" s="89" t="s">
        <v>31</v>
      </c>
      <c r="E262" s="89" t="s">
        <v>391</v>
      </c>
      <c r="F262" s="10">
        <v>44110</v>
      </c>
      <c r="G262" s="89" t="s">
        <v>367</v>
      </c>
      <c r="H262" s="22" t="s">
        <v>390</v>
      </c>
      <c r="I262" s="90">
        <v>24101.97</v>
      </c>
      <c r="J262" s="90">
        <v>14195.74</v>
      </c>
      <c r="K262" s="91">
        <f t="shared" si="15"/>
        <v>0.4110132906148336</v>
      </c>
      <c r="L262" s="90">
        <v>1610.03</v>
      </c>
      <c r="M262" s="91">
        <f t="shared" si="16"/>
        <v>6.6800763589034418E-2</v>
      </c>
      <c r="N262" s="11">
        <v>-2409.83</v>
      </c>
      <c r="O262" s="92">
        <v>394.77</v>
      </c>
      <c r="P262" s="92">
        <v>780</v>
      </c>
      <c r="Q262" s="12"/>
    </row>
    <row r="263" spans="2:17" s="2" customFormat="1" ht="15.75" x14ac:dyDescent="0.25">
      <c r="B263" s="22">
        <f t="shared" ref="B263:B277" si="17">B262+1</f>
        <v>259</v>
      </c>
      <c r="C263" s="89" t="s">
        <v>38</v>
      </c>
      <c r="D263" s="89" t="s">
        <v>33</v>
      </c>
      <c r="E263" s="89" t="s">
        <v>391</v>
      </c>
      <c r="F263" s="10">
        <v>44132</v>
      </c>
      <c r="G263" s="89" t="s">
        <v>368</v>
      </c>
      <c r="H263" s="22" t="s">
        <v>16</v>
      </c>
      <c r="I263" s="90">
        <v>6942.25</v>
      </c>
      <c r="J263" s="90">
        <v>4067.44</v>
      </c>
      <c r="K263" s="91">
        <f t="shared" si="15"/>
        <v>0.41410349670495877</v>
      </c>
      <c r="L263" s="90">
        <v>381.29</v>
      </c>
      <c r="M263" s="91">
        <f t="shared" si="16"/>
        <v>5.4923115704562646E-2</v>
      </c>
      <c r="N263" s="11">
        <v>-619.15</v>
      </c>
      <c r="O263" s="92">
        <v>100</v>
      </c>
      <c r="P263" s="92">
        <v>63.42</v>
      </c>
      <c r="Q263" s="12"/>
    </row>
    <row r="264" spans="2:17" s="2" customFormat="1" ht="15.75" x14ac:dyDescent="0.25">
      <c r="B264" s="22">
        <f t="shared" si="17"/>
        <v>260</v>
      </c>
      <c r="C264" s="89" t="s">
        <v>29</v>
      </c>
      <c r="D264" s="89" t="s">
        <v>39</v>
      </c>
      <c r="E264" s="89" t="s">
        <v>344</v>
      </c>
      <c r="F264" s="10">
        <v>44132</v>
      </c>
      <c r="G264" s="89" t="s">
        <v>369</v>
      </c>
      <c r="H264" s="22" t="s">
        <v>18</v>
      </c>
      <c r="I264" s="90">
        <v>19003.48</v>
      </c>
      <c r="J264" s="90">
        <v>11200.86</v>
      </c>
      <c r="K264" s="91">
        <f t="shared" si="15"/>
        <v>0.41058900790802522</v>
      </c>
      <c r="L264" s="90">
        <v>1047.54</v>
      </c>
      <c r="M264" s="91">
        <f t="shared" si="16"/>
        <v>5.5123587890217998E-2</v>
      </c>
      <c r="N264" s="11">
        <v>-1176.52</v>
      </c>
      <c r="O264" s="92">
        <v>100</v>
      </c>
      <c r="P264" s="92"/>
      <c r="Q264" s="12"/>
    </row>
    <row r="265" spans="2:17" s="2" customFormat="1" ht="15.75" x14ac:dyDescent="0.25">
      <c r="B265" s="22">
        <f t="shared" si="17"/>
        <v>261</v>
      </c>
      <c r="C265" s="89" t="s">
        <v>29</v>
      </c>
      <c r="D265" s="89" t="s">
        <v>39</v>
      </c>
      <c r="E265" s="89" t="s">
        <v>391</v>
      </c>
      <c r="F265" s="10">
        <v>44091</v>
      </c>
      <c r="G265" s="89" t="s">
        <v>370</v>
      </c>
      <c r="H265" s="22" t="s">
        <v>18</v>
      </c>
      <c r="I265" s="90">
        <v>45274.16</v>
      </c>
      <c r="J265" s="90">
        <v>23830.19</v>
      </c>
      <c r="K265" s="91">
        <f t="shared" si="15"/>
        <v>0.47364699864116755</v>
      </c>
      <c r="L265" s="90">
        <v>3646.75</v>
      </c>
      <c r="M265" s="91">
        <f t="shared" si="16"/>
        <v>8.0548153737142775E-2</v>
      </c>
      <c r="N265" s="11">
        <v>973.16</v>
      </c>
      <c r="O265" s="92"/>
      <c r="P265" s="92"/>
      <c r="Q265" s="12"/>
    </row>
    <row r="266" spans="2:17" s="2" customFormat="1" ht="15.75" x14ac:dyDescent="0.25">
      <c r="B266" s="22">
        <f t="shared" si="17"/>
        <v>262</v>
      </c>
      <c r="C266" s="89" t="s">
        <v>41</v>
      </c>
      <c r="D266" s="89" t="s">
        <v>39</v>
      </c>
      <c r="E266" s="89" t="s">
        <v>391</v>
      </c>
      <c r="F266" s="10">
        <v>44177</v>
      </c>
      <c r="G266" s="89" t="s">
        <v>371</v>
      </c>
      <c r="H266" s="22" t="s">
        <v>16</v>
      </c>
      <c r="I266" s="90">
        <v>679.05</v>
      </c>
      <c r="J266" s="90">
        <v>6124.66</v>
      </c>
      <c r="K266" s="91"/>
      <c r="L266" s="90">
        <v>676.19</v>
      </c>
      <c r="M266" s="91"/>
      <c r="N266" s="11"/>
      <c r="O266" s="92"/>
      <c r="P266" s="92"/>
      <c r="Q266" s="12" t="s">
        <v>385</v>
      </c>
    </row>
    <row r="267" spans="2:17" s="2" customFormat="1" ht="15.75" x14ac:dyDescent="0.25">
      <c r="B267" s="22">
        <f t="shared" si="17"/>
        <v>263</v>
      </c>
      <c r="C267" s="89" t="s">
        <v>38</v>
      </c>
      <c r="D267" s="89" t="s">
        <v>52</v>
      </c>
      <c r="E267" s="89" t="s">
        <v>392</v>
      </c>
      <c r="F267" s="10">
        <v>44114</v>
      </c>
      <c r="G267" s="89" t="s">
        <v>372</v>
      </c>
      <c r="H267" s="22" t="s">
        <v>16</v>
      </c>
      <c r="I267" s="90">
        <v>4350.8900000000003</v>
      </c>
      <c r="J267" s="90">
        <v>5193.08</v>
      </c>
      <c r="K267" s="91">
        <f t="shared" si="15"/>
        <v>-0.19356729312853221</v>
      </c>
      <c r="L267" s="90">
        <v>0</v>
      </c>
      <c r="M267" s="91">
        <f t="shared" si="16"/>
        <v>0</v>
      </c>
      <c r="N267" s="11">
        <v>-887.21</v>
      </c>
      <c r="O267" s="92">
        <v>347.82</v>
      </c>
      <c r="P267" s="92">
        <v>141.54</v>
      </c>
      <c r="Q267" s="12"/>
    </row>
    <row r="268" spans="2:17" s="2" customFormat="1" ht="15.75" x14ac:dyDescent="0.25">
      <c r="B268" s="22">
        <f t="shared" si="17"/>
        <v>264</v>
      </c>
      <c r="C268" s="89" t="s">
        <v>41</v>
      </c>
      <c r="D268" s="89" t="s">
        <v>39</v>
      </c>
      <c r="E268" s="89" t="s">
        <v>391</v>
      </c>
      <c r="F268" s="10">
        <v>44133</v>
      </c>
      <c r="G268" s="89" t="s">
        <v>373</v>
      </c>
      <c r="H268" s="22" t="s">
        <v>18</v>
      </c>
      <c r="I268" s="90">
        <v>36775.69</v>
      </c>
      <c r="J268" s="90">
        <v>18742.169999999998</v>
      </c>
      <c r="K268" s="91">
        <f t="shared" si="15"/>
        <v>0.49036523855840647</v>
      </c>
      <c r="L268" s="90">
        <v>3466.64</v>
      </c>
      <c r="M268" s="91">
        <f t="shared" si="16"/>
        <v>9.4264444800355882E-2</v>
      </c>
      <c r="N268" s="11">
        <v>1614.69</v>
      </c>
      <c r="O268" s="92">
        <v>0</v>
      </c>
      <c r="P268" s="92">
        <v>54</v>
      </c>
      <c r="Q268" s="12"/>
    </row>
    <row r="269" spans="2:17" s="2" customFormat="1" ht="15.75" x14ac:dyDescent="0.25">
      <c r="B269" s="22">
        <f t="shared" si="17"/>
        <v>265</v>
      </c>
      <c r="C269" s="89" t="s">
        <v>29</v>
      </c>
      <c r="D269" s="89" t="s">
        <v>52</v>
      </c>
      <c r="E269" s="89" t="s">
        <v>392</v>
      </c>
      <c r="F269" s="10">
        <v>44065</v>
      </c>
      <c r="G269" s="89" t="s">
        <v>374</v>
      </c>
      <c r="H269" s="22" t="s">
        <v>16</v>
      </c>
      <c r="I269" s="90">
        <v>12852.27</v>
      </c>
      <c r="J269" s="90">
        <v>8097.89</v>
      </c>
      <c r="K269" s="91">
        <f t="shared" si="15"/>
        <v>0.36992531280466406</v>
      </c>
      <c r="L269" s="90">
        <v>546.11</v>
      </c>
      <c r="M269" s="91">
        <f t="shared" si="16"/>
        <v>4.2491326434941065E-2</v>
      </c>
      <c r="N269" s="11">
        <v>-1889.73</v>
      </c>
      <c r="O269" s="92"/>
      <c r="P269" s="92"/>
      <c r="Q269" s="12"/>
    </row>
    <row r="270" spans="2:17" s="2" customFormat="1" ht="15.75" x14ac:dyDescent="0.25">
      <c r="B270" s="22">
        <f t="shared" si="17"/>
        <v>266</v>
      </c>
      <c r="C270" s="89" t="s">
        <v>29</v>
      </c>
      <c r="D270" s="89" t="s">
        <v>52</v>
      </c>
      <c r="E270" s="89" t="s">
        <v>392</v>
      </c>
      <c r="F270" s="10">
        <v>44134</v>
      </c>
      <c r="G270" s="89" t="s">
        <v>375</v>
      </c>
      <c r="H270" s="22" t="s">
        <v>16</v>
      </c>
      <c r="I270" s="90">
        <v>1120.3800000000001</v>
      </c>
      <c r="J270" s="90">
        <v>1968.19</v>
      </c>
      <c r="K270" s="91">
        <f t="shared" si="15"/>
        <v>-0.75671647119727226</v>
      </c>
      <c r="L270" s="94">
        <v>103.03</v>
      </c>
      <c r="M270" s="91">
        <f t="shared" si="16"/>
        <v>9.1959870758135623E-2</v>
      </c>
      <c r="N270" s="11">
        <v>-314.62</v>
      </c>
      <c r="O270" s="92"/>
      <c r="P270" s="92"/>
      <c r="Q270" s="12"/>
    </row>
    <row r="271" spans="2:17" s="2" customFormat="1" ht="15.75" x14ac:dyDescent="0.25">
      <c r="B271" s="22">
        <f t="shared" si="17"/>
        <v>267</v>
      </c>
      <c r="C271" s="89" t="s">
        <v>29</v>
      </c>
      <c r="D271" s="89" t="s">
        <v>31</v>
      </c>
      <c r="E271" s="89" t="s">
        <v>34</v>
      </c>
      <c r="F271" s="10">
        <v>44140</v>
      </c>
      <c r="G271" s="89" t="s">
        <v>376</v>
      </c>
      <c r="H271" s="22" t="s">
        <v>13</v>
      </c>
      <c r="I271" s="90">
        <v>21585.17</v>
      </c>
      <c r="J271" s="90">
        <v>12618.1</v>
      </c>
      <c r="K271" s="91">
        <f t="shared" si="15"/>
        <v>0.41542735127867875</v>
      </c>
      <c r="L271" s="90">
        <v>1031.46</v>
      </c>
      <c r="M271" s="91">
        <f t="shared" si="16"/>
        <v>4.7785586122323802E-2</v>
      </c>
      <c r="N271" s="11">
        <v>-3364.93</v>
      </c>
      <c r="O271" s="92"/>
      <c r="P271" s="92">
        <v>698.55</v>
      </c>
      <c r="Q271" s="12"/>
    </row>
    <row r="272" spans="2:17" s="2" customFormat="1" ht="15.75" x14ac:dyDescent="0.25">
      <c r="B272" s="22">
        <f t="shared" si="17"/>
        <v>268</v>
      </c>
      <c r="C272" s="89" t="s">
        <v>29</v>
      </c>
      <c r="D272" s="89" t="s">
        <v>377</v>
      </c>
      <c r="E272" s="89" t="s">
        <v>396</v>
      </c>
      <c r="F272" s="10">
        <v>44105</v>
      </c>
      <c r="G272" s="89" t="s">
        <v>378</v>
      </c>
      <c r="H272" s="22" t="s">
        <v>20</v>
      </c>
      <c r="I272" s="90">
        <v>1937.43</v>
      </c>
      <c r="J272" s="90">
        <v>1481.69</v>
      </c>
      <c r="K272" s="91">
        <f t="shared" si="15"/>
        <v>0.23522914376261336</v>
      </c>
      <c r="L272" s="90">
        <v>278.33</v>
      </c>
      <c r="M272" s="91">
        <f t="shared" si="16"/>
        <v>0.14365938382289939</v>
      </c>
      <c r="N272" s="11">
        <v>-1454.77</v>
      </c>
      <c r="O272" s="92">
        <v>691</v>
      </c>
      <c r="P272" s="92"/>
      <c r="Q272" s="12"/>
    </row>
    <row r="273" spans="2:17" s="2" customFormat="1" ht="15.75" x14ac:dyDescent="0.25">
      <c r="B273" s="22">
        <f t="shared" si="17"/>
        <v>269</v>
      </c>
      <c r="C273" s="89" t="s">
        <v>47</v>
      </c>
      <c r="D273" s="89" t="s">
        <v>39</v>
      </c>
      <c r="E273" s="89" t="s">
        <v>392</v>
      </c>
      <c r="F273" s="10">
        <v>44139</v>
      </c>
      <c r="G273" s="89" t="s">
        <v>379</v>
      </c>
      <c r="H273" s="22" t="s">
        <v>390</v>
      </c>
      <c r="I273" s="90">
        <v>19364.02</v>
      </c>
      <c r="J273" s="90">
        <v>8208.09</v>
      </c>
      <c r="K273" s="91">
        <f t="shared" si="15"/>
        <v>0.57611642623794024</v>
      </c>
      <c r="L273" s="90">
        <v>2658.07</v>
      </c>
      <c r="M273" s="91">
        <f t="shared" si="16"/>
        <v>0.13726850106537797</v>
      </c>
      <c r="N273" s="11">
        <v>1947.32</v>
      </c>
      <c r="O273" s="92"/>
      <c r="P273" s="92"/>
      <c r="Q273" s="12"/>
    </row>
    <row r="274" spans="2:17" s="2" customFormat="1" ht="15.75" x14ac:dyDescent="0.25">
      <c r="B274" s="22">
        <f t="shared" si="17"/>
        <v>270</v>
      </c>
      <c r="C274" s="89" t="s">
        <v>29</v>
      </c>
      <c r="D274" s="89" t="s">
        <v>26</v>
      </c>
      <c r="E274" s="89" t="s">
        <v>27</v>
      </c>
      <c r="F274" s="10">
        <v>44195</v>
      </c>
      <c r="G274" s="89" t="s">
        <v>193</v>
      </c>
      <c r="H274" s="22" t="s">
        <v>61</v>
      </c>
      <c r="I274" s="90">
        <v>11448.44</v>
      </c>
      <c r="J274" s="90">
        <v>4459.53</v>
      </c>
      <c r="K274" s="91">
        <f t="shared" si="15"/>
        <v>0.61046832581556965</v>
      </c>
      <c r="L274" s="90">
        <v>1290.6300000000001</v>
      </c>
      <c r="M274" s="91">
        <f t="shared" si="16"/>
        <v>0.11273413670334125</v>
      </c>
      <c r="N274" s="11">
        <v>543.84</v>
      </c>
      <c r="O274" s="92"/>
      <c r="P274" s="92"/>
      <c r="Q274" s="12"/>
    </row>
    <row r="275" spans="2:17" s="2" customFormat="1" ht="15.75" x14ac:dyDescent="0.25">
      <c r="B275" s="22">
        <f t="shared" si="17"/>
        <v>271</v>
      </c>
      <c r="C275" s="89" t="s">
        <v>38</v>
      </c>
      <c r="D275" s="89" t="s">
        <v>39</v>
      </c>
      <c r="E275" s="89" t="s">
        <v>391</v>
      </c>
      <c r="F275" s="10">
        <v>44152</v>
      </c>
      <c r="G275" s="89" t="s">
        <v>245</v>
      </c>
      <c r="H275" s="22" t="s">
        <v>18</v>
      </c>
      <c r="I275" s="90">
        <v>46132.91</v>
      </c>
      <c r="J275" s="90">
        <v>30172.2</v>
      </c>
      <c r="K275" s="91">
        <f t="shared" si="15"/>
        <v>0.34597232214486362</v>
      </c>
      <c r="L275" s="90">
        <v>2185.92</v>
      </c>
      <c r="M275" s="91">
        <f t="shared" si="16"/>
        <v>4.7383093761048239E-2</v>
      </c>
      <c r="N275" s="11">
        <v>-2937.56</v>
      </c>
      <c r="O275" s="92">
        <v>407.04</v>
      </c>
      <c r="P275" s="92"/>
      <c r="Q275" s="12"/>
    </row>
    <row r="276" spans="2:17" s="2" customFormat="1" ht="15.75" x14ac:dyDescent="0.25">
      <c r="B276" s="22">
        <f t="shared" si="17"/>
        <v>272</v>
      </c>
      <c r="C276" s="89" t="s">
        <v>29</v>
      </c>
      <c r="D276" s="89" t="s">
        <v>31</v>
      </c>
      <c r="E276" s="89" t="s">
        <v>396</v>
      </c>
      <c r="F276" s="10">
        <v>44057</v>
      </c>
      <c r="G276" s="89" t="s">
        <v>380</v>
      </c>
      <c r="H276" s="22" t="s">
        <v>13</v>
      </c>
      <c r="I276" s="90">
        <v>8348.5499999999993</v>
      </c>
      <c r="J276" s="90">
        <v>5638</v>
      </c>
      <c r="K276" s="91">
        <f t="shared" si="15"/>
        <v>0.32467314683388127</v>
      </c>
      <c r="L276" s="90">
        <f>862.86+126.23</f>
        <v>989.09</v>
      </c>
      <c r="M276" s="91">
        <f t="shared" si="16"/>
        <v>0.11847446562576737</v>
      </c>
      <c r="N276" s="11">
        <v>131.25</v>
      </c>
      <c r="O276" s="92">
        <v>126.23</v>
      </c>
      <c r="P276" s="92">
        <v>270.18</v>
      </c>
      <c r="Q276" s="12"/>
    </row>
    <row r="277" spans="2:17" s="2" customFormat="1" ht="15.75" x14ac:dyDescent="0.25">
      <c r="B277" s="22">
        <f t="shared" si="17"/>
        <v>273</v>
      </c>
      <c r="C277" s="89" t="s">
        <v>29</v>
      </c>
      <c r="D277" s="89" t="s">
        <v>31</v>
      </c>
      <c r="E277" s="89" t="s">
        <v>391</v>
      </c>
      <c r="F277" s="10">
        <v>44044</v>
      </c>
      <c r="G277" s="89" t="s">
        <v>381</v>
      </c>
      <c r="H277" s="22" t="s">
        <v>16</v>
      </c>
      <c r="I277" s="90">
        <v>12462.57</v>
      </c>
      <c r="J277" s="90">
        <v>7810.06</v>
      </c>
      <c r="K277" s="91">
        <f t="shared" si="15"/>
        <v>0.37331866541170877</v>
      </c>
      <c r="L277" s="90">
        <v>858.79</v>
      </c>
      <c r="M277" s="91">
        <f t="shared" si="16"/>
        <v>6.8909542734764975E-2</v>
      </c>
      <c r="N277" s="11">
        <v>-788.43</v>
      </c>
      <c r="O277" s="92"/>
      <c r="P277" s="92">
        <v>403.32</v>
      </c>
      <c r="Q277" s="12"/>
    </row>
    <row r="278" spans="2:17" s="2" customFormat="1" ht="15.75" x14ac:dyDescent="0.25">
      <c r="C278" s="3"/>
      <c r="D278" s="3"/>
      <c r="E278" s="3"/>
      <c r="F278" s="3"/>
      <c r="G278" s="21"/>
      <c r="H278" s="3"/>
      <c r="I278" s="18"/>
      <c r="J278" s="18"/>
      <c r="K278" s="16"/>
      <c r="L278" s="18"/>
      <c r="M278" s="16"/>
      <c r="N278" s="19"/>
      <c r="O278" s="19"/>
      <c r="P278" s="19"/>
      <c r="Q278" s="8"/>
    </row>
    <row r="279" spans="2:17" s="2" customFormat="1" ht="15.75" x14ac:dyDescent="0.25">
      <c r="C279" s="3"/>
      <c r="D279" s="3"/>
      <c r="E279" s="3"/>
      <c r="F279" s="3"/>
      <c r="G279" s="21"/>
      <c r="H279" s="3"/>
      <c r="I279" s="18"/>
      <c r="J279" s="18"/>
      <c r="K279" s="16"/>
      <c r="L279" s="18"/>
      <c r="M279" s="16"/>
      <c r="N279" s="19"/>
      <c r="O279" s="19"/>
      <c r="P279" s="19"/>
      <c r="Q279" s="8"/>
    </row>
    <row r="280" spans="2:17" s="2" customFormat="1" ht="15.75" x14ac:dyDescent="0.25">
      <c r="C280" s="3"/>
      <c r="D280" s="3"/>
      <c r="E280" s="3"/>
      <c r="F280" s="3"/>
      <c r="G280" s="21"/>
      <c r="H280" s="3"/>
      <c r="I280" s="18"/>
      <c r="J280" s="18"/>
      <c r="K280" s="16"/>
      <c r="L280" s="18"/>
      <c r="M280" s="16"/>
      <c r="N280" s="19"/>
      <c r="O280" s="19"/>
      <c r="P280" s="19"/>
      <c r="Q280" s="8"/>
    </row>
    <row r="281" spans="2:17" s="2" customFormat="1" ht="15.75" x14ac:dyDescent="0.25">
      <c r="C281" s="3"/>
      <c r="D281" s="3"/>
      <c r="E281" s="3"/>
      <c r="F281" s="3"/>
      <c r="G281" s="21"/>
      <c r="H281" s="3"/>
      <c r="I281" s="18"/>
      <c r="J281" s="18"/>
      <c r="K281" s="16"/>
      <c r="L281" s="18"/>
      <c r="M281" s="16"/>
      <c r="N281" s="19"/>
      <c r="O281" s="19"/>
      <c r="P281" s="19"/>
      <c r="Q281" s="8"/>
    </row>
    <row r="282" spans="2:17" s="2" customFormat="1" ht="15.75" x14ac:dyDescent="0.25">
      <c r="C282" s="3"/>
      <c r="D282" s="3"/>
      <c r="E282" s="3"/>
      <c r="F282" s="3"/>
      <c r="G282" s="21"/>
      <c r="H282" s="3"/>
      <c r="I282" s="18"/>
      <c r="J282" s="18"/>
      <c r="K282" s="16"/>
      <c r="L282" s="18"/>
      <c r="M282" s="16"/>
      <c r="N282" s="19"/>
      <c r="O282" s="19"/>
      <c r="P282" s="19"/>
      <c r="Q282" s="8"/>
    </row>
    <row r="283" spans="2:17" s="2" customFormat="1" ht="15.75" x14ac:dyDescent="0.25">
      <c r="C283" s="3"/>
      <c r="D283" s="3"/>
      <c r="E283" s="3"/>
      <c r="F283" s="3"/>
      <c r="G283" s="21"/>
      <c r="H283" s="3"/>
      <c r="I283" s="18"/>
      <c r="J283" s="18"/>
      <c r="K283" s="16"/>
      <c r="L283" s="18"/>
      <c r="M283" s="16"/>
      <c r="N283" s="19"/>
      <c r="O283" s="19"/>
      <c r="P283" s="19"/>
      <c r="Q283" s="8"/>
    </row>
    <row r="284" spans="2:17" s="2" customFormat="1" ht="15.75" x14ac:dyDescent="0.25">
      <c r="C284" s="3"/>
      <c r="D284" s="3"/>
      <c r="E284" s="3"/>
      <c r="F284" s="3"/>
      <c r="G284" s="21"/>
      <c r="H284" s="3"/>
      <c r="I284" s="18"/>
      <c r="J284" s="18"/>
      <c r="K284" s="16"/>
      <c r="L284" s="18"/>
      <c r="M284" s="16"/>
      <c r="N284" s="19"/>
      <c r="O284" s="19"/>
      <c r="P284" s="19"/>
      <c r="Q284" s="8"/>
    </row>
    <row r="285" spans="2:17" s="2" customFormat="1" ht="15.75" x14ac:dyDescent="0.25">
      <c r="C285" s="3"/>
      <c r="D285" s="3"/>
      <c r="E285" s="3"/>
      <c r="F285" s="3"/>
      <c r="G285" s="21"/>
      <c r="H285" s="3"/>
      <c r="I285" s="18"/>
      <c r="J285" s="18"/>
      <c r="K285" s="16"/>
      <c r="L285" s="18"/>
      <c r="M285" s="16"/>
      <c r="N285" s="19"/>
      <c r="O285" s="19"/>
      <c r="P285" s="19"/>
      <c r="Q285" s="8"/>
    </row>
    <row r="286" spans="2:17" s="2" customFormat="1" ht="15.75" x14ac:dyDescent="0.25">
      <c r="C286" s="3"/>
      <c r="D286" s="3"/>
      <c r="E286" s="3"/>
      <c r="F286" s="3"/>
      <c r="G286" s="21"/>
      <c r="H286" s="3"/>
      <c r="I286" s="18"/>
      <c r="J286" s="18"/>
      <c r="K286" s="16"/>
      <c r="L286" s="18"/>
      <c r="M286" s="16"/>
      <c r="N286" s="19"/>
      <c r="O286" s="19"/>
      <c r="P286" s="19"/>
      <c r="Q286" s="8"/>
    </row>
    <row r="287" spans="2:17" s="2" customFormat="1" ht="15.75" x14ac:dyDescent="0.25">
      <c r="C287" s="3"/>
      <c r="D287" s="3"/>
      <c r="E287" s="3"/>
      <c r="F287" s="3"/>
      <c r="G287" s="21"/>
      <c r="H287" s="3"/>
      <c r="I287" s="18"/>
      <c r="J287" s="18"/>
      <c r="K287" s="16"/>
      <c r="L287" s="18"/>
      <c r="M287" s="16"/>
      <c r="N287" s="19"/>
      <c r="O287" s="19"/>
      <c r="P287" s="19"/>
      <c r="Q287" s="8"/>
    </row>
    <row r="288" spans="2:17" s="2" customFormat="1" ht="15.75" x14ac:dyDescent="0.25">
      <c r="C288" s="3"/>
      <c r="D288" s="3"/>
      <c r="E288" s="3"/>
      <c r="F288" s="3"/>
      <c r="G288" s="21"/>
      <c r="H288" s="3"/>
      <c r="I288" s="18"/>
      <c r="J288" s="18"/>
      <c r="K288" s="16"/>
      <c r="L288" s="18"/>
      <c r="M288" s="16"/>
      <c r="N288" s="19"/>
      <c r="O288" s="19"/>
      <c r="P288" s="19"/>
      <c r="Q288" s="8"/>
    </row>
    <row r="289" spans="3:17" s="2" customFormat="1" ht="15.75" x14ac:dyDescent="0.25">
      <c r="C289" s="3"/>
      <c r="D289" s="3"/>
      <c r="E289" s="3"/>
      <c r="F289" s="3"/>
      <c r="G289" s="21"/>
      <c r="H289" s="3"/>
      <c r="I289" s="18"/>
      <c r="J289" s="18"/>
      <c r="K289" s="16"/>
      <c r="L289" s="18"/>
      <c r="M289" s="16"/>
      <c r="N289" s="19"/>
      <c r="O289" s="19"/>
      <c r="P289" s="19"/>
      <c r="Q289" s="8"/>
    </row>
    <row r="290" spans="3:17" s="2" customFormat="1" ht="15.75" x14ac:dyDescent="0.25">
      <c r="C290" s="3"/>
      <c r="D290" s="3"/>
      <c r="E290" s="3"/>
      <c r="F290" s="3"/>
      <c r="G290" s="21"/>
      <c r="H290" s="3"/>
      <c r="I290" s="18"/>
      <c r="J290" s="18"/>
      <c r="K290" s="16"/>
      <c r="L290" s="18"/>
      <c r="M290" s="16"/>
      <c r="N290" s="19"/>
      <c r="O290" s="19"/>
      <c r="P290" s="19"/>
      <c r="Q290" s="8"/>
    </row>
    <row r="291" spans="3:17" s="2" customFormat="1" ht="15.75" x14ac:dyDescent="0.25">
      <c r="C291" s="3"/>
      <c r="D291" s="3"/>
      <c r="E291" s="3"/>
      <c r="F291" s="3"/>
      <c r="G291" s="21"/>
      <c r="H291" s="3"/>
      <c r="I291" s="18"/>
      <c r="J291" s="18"/>
      <c r="K291" s="16"/>
      <c r="L291" s="18"/>
      <c r="M291" s="16"/>
      <c r="N291" s="19"/>
      <c r="O291" s="19"/>
      <c r="P291" s="19"/>
      <c r="Q291" s="8"/>
    </row>
    <row r="292" spans="3:17" s="2" customFormat="1" ht="15.75" x14ac:dyDescent="0.25">
      <c r="C292" s="3"/>
      <c r="D292" s="3"/>
      <c r="E292" s="3"/>
      <c r="F292" s="3"/>
      <c r="G292" s="21"/>
      <c r="H292" s="3"/>
      <c r="I292" s="18"/>
      <c r="J292" s="18"/>
      <c r="K292" s="16"/>
      <c r="L292" s="18"/>
      <c r="M292" s="16"/>
      <c r="N292" s="19"/>
      <c r="O292" s="19"/>
      <c r="P292" s="19"/>
      <c r="Q292" s="8"/>
    </row>
    <row r="293" spans="3:17" s="2" customFormat="1" ht="15.75" x14ac:dyDescent="0.25">
      <c r="C293" s="3"/>
      <c r="D293" s="3"/>
      <c r="E293" s="3"/>
      <c r="F293" s="3"/>
      <c r="G293" s="21"/>
      <c r="H293" s="3"/>
      <c r="I293" s="18"/>
      <c r="J293" s="18"/>
      <c r="K293" s="16"/>
      <c r="L293" s="18"/>
      <c r="M293" s="16"/>
      <c r="N293" s="19"/>
      <c r="O293" s="19"/>
      <c r="P293" s="19"/>
      <c r="Q293" s="8"/>
    </row>
    <row r="294" spans="3:17" s="2" customFormat="1" ht="15.75" x14ac:dyDescent="0.25">
      <c r="C294" s="3"/>
      <c r="D294" s="3"/>
      <c r="E294" s="3"/>
      <c r="F294" s="3"/>
      <c r="G294" s="21"/>
      <c r="H294" s="3"/>
      <c r="I294" s="18"/>
      <c r="J294" s="18"/>
      <c r="K294" s="16"/>
      <c r="L294" s="18"/>
      <c r="M294" s="16"/>
      <c r="N294" s="19"/>
      <c r="O294" s="19"/>
      <c r="P294" s="19"/>
      <c r="Q294" s="8"/>
    </row>
    <row r="295" spans="3:17" s="2" customFormat="1" ht="15.75" x14ac:dyDescent="0.25">
      <c r="C295" s="3"/>
      <c r="D295" s="3"/>
      <c r="E295" s="3"/>
      <c r="F295" s="3"/>
      <c r="G295" s="21"/>
      <c r="H295" s="3"/>
      <c r="I295" s="18"/>
      <c r="J295" s="18"/>
      <c r="K295" s="16"/>
      <c r="L295" s="18"/>
      <c r="M295" s="16"/>
      <c r="N295" s="19"/>
      <c r="O295" s="19"/>
      <c r="P295" s="19"/>
      <c r="Q295" s="8"/>
    </row>
    <row r="296" spans="3:17" s="2" customFormat="1" ht="15.75" x14ac:dyDescent="0.25">
      <c r="C296" s="3"/>
      <c r="D296" s="3"/>
      <c r="E296" s="3"/>
      <c r="F296" s="3"/>
      <c r="G296" s="21"/>
      <c r="H296" s="3"/>
      <c r="I296" s="18"/>
      <c r="J296" s="18"/>
      <c r="K296" s="16"/>
      <c r="L296" s="18"/>
      <c r="M296" s="16"/>
      <c r="N296" s="19"/>
      <c r="O296" s="19"/>
      <c r="P296" s="19"/>
      <c r="Q296" s="8"/>
    </row>
    <row r="297" spans="3:17" s="2" customFormat="1" ht="15.75" x14ac:dyDescent="0.25">
      <c r="C297" s="3"/>
      <c r="D297" s="3"/>
      <c r="E297" s="3"/>
      <c r="F297" s="3"/>
      <c r="G297" s="21"/>
      <c r="H297" s="3"/>
      <c r="I297" s="18"/>
      <c r="J297" s="18"/>
      <c r="K297" s="16"/>
      <c r="L297" s="18"/>
      <c r="M297" s="16"/>
      <c r="N297" s="19"/>
      <c r="O297" s="19"/>
      <c r="P297" s="19"/>
      <c r="Q297" s="8"/>
    </row>
    <row r="298" spans="3:17" s="2" customFormat="1" ht="15.75" x14ac:dyDescent="0.25">
      <c r="C298" s="3"/>
      <c r="D298" s="3"/>
      <c r="E298" s="3"/>
      <c r="F298" s="3"/>
      <c r="G298" s="21"/>
      <c r="H298" s="3"/>
      <c r="I298" s="18"/>
      <c r="J298" s="18"/>
      <c r="K298" s="16"/>
      <c r="L298" s="18"/>
      <c r="M298" s="16"/>
      <c r="N298" s="19"/>
      <c r="O298" s="19"/>
      <c r="P298" s="19"/>
      <c r="Q298" s="8"/>
    </row>
    <row r="299" spans="3:17" s="2" customFormat="1" ht="15.75" x14ac:dyDescent="0.25">
      <c r="C299" s="3"/>
      <c r="D299" s="3"/>
      <c r="E299" s="3"/>
      <c r="F299" s="3"/>
      <c r="G299" s="21"/>
      <c r="H299" s="3"/>
      <c r="I299" s="18"/>
      <c r="J299" s="18"/>
      <c r="K299" s="16"/>
      <c r="L299" s="18"/>
      <c r="M299" s="16"/>
      <c r="N299" s="19"/>
      <c r="O299" s="19"/>
      <c r="P299" s="19"/>
      <c r="Q299" s="8"/>
    </row>
    <row r="300" spans="3:17" s="2" customFormat="1" ht="15.75" x14ac:dyDescent="0.25">
      <c r="C300" s="3"/>
      <c r="D300" s="3"/>
      <c r="E300" s="3"/>
      <c r="F300" s="3"/>
      <c r="G300" s="21"/>
      <c r="H300" s="3"/>
      <c r="I300" s="18"/>
      <c r="J300" s="18"/>
      <c r="K300" s="16"/>
      <c r="L300" s="18"/>
      <c r="M300" s="16"/>
      <c r="N300" s="19"/>
      <c r="O300" s="19"/>
      <c r="P300" s="19"/>
      <c r="Q300" s="8"/>
    </row>
    <row r="301" spans="3:17" s="2" customFormat="1" ht="15.75" x14ac:dyDescent="0.25">
      <c r="C301" s="3"/>
      <c r="D301" s="3"/>
      <c r="E301" s="3"/>
      <c r="F301" s="3"/>
      <c r="G301" s="21"/>
      <c r="H301" s="3"/>
      <c r="I301" s="18"/>
      <c r="J301" s="18"/>
      <c r="K301" s="16"/>
      <c r="L301" s="18"/>
      <c r="M301" s="16"/>
      <c r="N301" s="19"/>
      <c r="O301" s="19"/>
      <c r="P301" s="19"/>
      <c r="Q301" s="8"/>
    </row>
    <row r="302" spans="3:17" s="2" customFormat="1" ht="15.75" x14ac:dyDescent="0.25">
      <c r="C302" s="3"/>
      <c r="D302" s="3"/>
      <c r="E302" s="3"/>
      <c r="F302" s="3"/>
      <c r="G302" s="21"/>
      <c r="H302" s="3"/>
      <c r="I302" s="18"/>
      <c r="J302" s="18"/>
      <c r="K302" s="16"/>
      <c r="L302" s="18"/>
      <c r="M302" s="16"/>
      <c r="N302" s="19"/>
      <c r="O302" s="19"/>
      <c r="P302" s="19"/>
      <c r="Q302" s="8"/>
    </row>
    <row r="303" spans="3:17" s="2" customFormat="1" ht="15.75" x14ac:dyDescent="0.25">
      <c r="C303" s="3"/>
      <c r="D303" s="3"/>
      <c r="E303" s="3"/>
      <c r="F303" s="3"/>
      <c r="G303" s="21"/>
      <c r="H303" s="3"/>
      <c r="I303" s="18"/>
      <c r="J303" s="18"/>
      <c r="K303" s="16"/>
      <c r="L303" s="18"/>
      <c r="M303" s="16"/>
      <c r="N303" s="19"/>
      <c r="O303" s="19"/>
      <c r="P303" s="19"/>
      <c r="Q303" s="8"/>
    </row>
    <row r="304" spans="3:17" s="2" customFormat="1" ht="15.75" x14ac:dyDescent="0.25">
      <c r="C304" s="3"/>
      <c r="D304" s="3"/>
      <c r="E304" s="3"/>
      <c r="F304" s="3"/>
      <c r="G304" s="21"/>
      <c r="H304" s="3"/>
      <c r="I304" s="18"/>
      <c r="J304" s="18"/>
      <c r="K304" s="16"/>
      <c r="L304" s="18"/>
      <c r="M304" s="16"/>
      <c r="N304" s="19"/>
      <c r="O304" s="19"/>
      <c r="P304" s="19"/>
      <c r="Q304" s="8"/>
    </row>
    <row r="305" spans="3:17" s="2" customFormat="1" ht="15.75" x14ac:dyDescent="0.25">
      <c r="C305" s="3"/>
      <c r="D305" s="3"/>
      <c r="E305" s="3"/>
      <c r="F305" s="3"/>
      <c r="G305" s="21"/>
      <c r="H305" s="3"/>
      <c r="I305" s="18"/>
      <c r="J305" s="18"/>
      <c r="K305" s="16"/>
      <c r="L305" s="18"/>
      <c r="M305" s="16"/>
      <c r="N305" s="19"/>
      <c r="O305" s="19"/>
      <c r="P305" s="19"/>
      <c r="Q305" s="8"/>
    </row>
    <row r="306" spans="3:17" s="2" customFormat="1" ht="15.75" x14ac:dyDescent="0.25">
      <c r="C306" s="3"/>
      <c r="D306" s="3"/>
      <c r="E306" s="3"/>
      <c r="F306" s="3"/>
      <c r="G306" s="21"/>
      <c r="H306" s="3"/>
      <c r="I306" s="18"/>
      <c r="J306" s="18"/>
      <c r="K306" s="16"/>
      <c r="L306" s="18"/>
      <c r="M306" s="16"/>
      <c r="N306" s="19"/>
      <c r="O306" s="19"/>
      <c r="P306" s="19"/>
      <c r="Q306" s="8"/>
    </row>
    <row r="307" spans="3:17" s="2" customFormat="1" ht="15.75" x14ac:dyDescent="0.25">
      <c r="C307" s="3"/>
      <c r="D307" s="3"/>
      <c r="E307" s="3"/>
      <c r="F307" s="3"/>
      <c r="G307" s="21"/>
      <c r="H307" s="3"/>
      <c r="I307" s="18"/>
      <c r="J307" s="18"/>
      <c r="K307" s="16"/>
      <c r="L307" s="18"/>
      <c r="M307" s="16"/>
      <c r="N307" s="19"/>
      <c r="O307" s="19"/>
      <c r="P307" s="19"/>
      <c r="Q307" s="8"/>
    </row>
    <row r="308" spans="3:17" s="2" customFormat="1" ht="15.75" x14ac:dyDescent="0.25">
      <c r="C308" s="3"/>
      <c r="D308" s="3"/>
      <c r="E308" s="3"/>
      <c r="F308" s="3"/>
      <c r="G308" s="21"/>
      <c r="H308" s="3"/>
      <c r="I308" s="18"/>
      <c r="J308" s="18"/>
      <c r="K308" s="16"/>
      <c r="L308" s="18"/>
      <c r="M308" s="16"/>
      <c r="N308" s="19"/>
      <c r="O308" s="19"/>
      <c r="P308" s="19"/>
      <c r="Q308" s="8"/>
    </row>
    <row r="309" spans="3:17" s="2" customFormat="1" ht="15.75" x14ac:dyDescent="0.25">
      <c r="C309" s="3"/>
      <c r="D309" s="3"/>
      <c r="E309" s="3"/>
      <c r="F309" s="3"/>
      <c r="G309" s="21"/>
      <c r="H309" s="3"/>
      <c r="I309" s="18"/>
      <c r="J309" s="18"/>
      <c r="K309" s="16"/>
      <c r="L309" s="18"/>
      <c r="M309" s="16"/>
      <c r="N309" s="19"/>
      <c r="O309" s="19"/>
      <c r="P309" s="19"/>
      <c r="Q309" s="8"/>
    </row>
    <row r="310" spans="3:17" s="2" customFormat="1" ht="15.75" x14ac:dyDescent="0.25">
      <c r="C310" s="3"/>
      <c r="D310" s="3"/>
      <c r="E310" s="3"/>
      <c r="F310" s="3"/>
      <c r="G310" s="21"/>
      <c r="H310" s="3"/>
      <c r="I310" s="18"/>
      <c r="J310" s="18"/>
      <c r="K310" s="16"/>
      <c r="L310" s="18"/>
      <c r="M310" s="16"/>
      <c r="N310" s="19"/>
      <c r="O310" s="19"/>
      <c r="P310" s="19"/>
      <c r="Q310" s="8"/>
    </row>
    <row r="311" spans="3:17" s="2" customFormat="1" ht="15.75" x14ac:dyDescent="0.25">
      <c r="C311" s="3"/>
      <c r="D311" s="3"/>
      <c r="E311" s="3"/>
      <c r="F311" s="3"/>
      <c r="G311" s="21"/>
      <c r="H311" s="3"/>
      <c r="I311" s="18"/>
      <c r="J311" s="18"/>
      <c r="K311" s="16"/>
      <c r="L311" s="18"/>
      <c r="M311" s="16"/>
      <c r="N311" s="19"/>
      <c r="O311" s="19"/>
      <c r="P311" s="19"/>
      <c r="Q311" s="8"/>
    </row>
    <row r="312" spans="3:17" s="2" customFormat="1" ht="15.75" x14ac:dyDescent="0.25">
      <c r="C312" s="3"/>
      <c r="D312" s="3"/>
      <c r="E312" s="3"/>
      <c r="F312" s="3"/>
      <c r="G312" s="21"/>
      <c r="H312" s="3"/>
      <c r="I312" s="18"/>
      <c r="J312" s="18"/>
      <c r="K312" s="16"/>
      <c r="L312" s="18"/>
      <c r="M312" s="16"/>
      <c r="N312" s="19"/>
      <c r="O312" s="19"/>
      <c r="P312" s="19"/>
      <c r="Q312" s="8"/>
    </row>
    <row r="313" spans="3:17" s="2" customFormat="1" ht="15.75" x14ac:dyDescent="0.25">
      <c r="C313" s="3"/>
      <c r="D313" s="3"/>
      <c r="E313" s="3"/>
      <c r="F313" s="3"/>
      <c r="G313" s="21"/>
      <c r="H313" s="3"/>
      <c r="I313" s="18"/>
      <c r="J313" s="18"/>
      <c r="K313" s="16"/>
      <c r="L313" s="18"/>
      <c r="M313" s="16"/>
      <c r="N313" s="19"/>
      <c r="O313" s="19"/>
      <c r="P313" s="19"/>
      <c r="Q313" s="8"/>
    </row>
    <row r="314" spans="3:17" s="2" customFormat="1" ht="15.75" x14ac:dyDescent="0.25">
      <c r="C314" s="3"/>
      <c r="D314" s="3"/>
      <c r="E314" s="3"/>
      <c r="F314" s="3"/>
      <c r="G314" s="21"/>
      <c r="H314" s="3"/>
      <c r="I314" s="18"/>
      <c r="J314" s="18"/>
      <c r="K314" s="16"/>
      <c r="L314" s="18"/>
      <c r="M314" s="16"/>
      <c r="N314" s="19"/>
      <c r="O314" s="19"/>
      <c r="P314" s="19"/>
      <c r="Q314" s="8"/>
    </row>
    <row r="315" spans="3:17" s="2" customFormat="1" ht="15.75" x14ac:dyDescent="0.25">
      <c r="C315" s="3"/>
      <c r="D315" s="3"/>
      <c r="E315" s="3"/>
      <c r="F315" s="3"/>
      <c r="G315" s="21"/>
      <c r="H315" s="3"/>
      <c r="I315" s="18"/>
      <c r="J315" s="18"/>
      <c r="K315" s="16"/>
      <c r="L315" s="18"/>
      <c r="M315" s="16"/>
      <c r="N315" s="19"/>
      <c r="O315" s="19"/>
      <c r="P315" s="19"/>
      <c r="Q315" s="8"/>
    </row>
    <row r="316" spans="3:17" s="2" customFormat="1" ht="15.75" x14ac:dyDescent="0.25">
      <c r="C316" s="3"/>
      <c r="D316" s="3"/>
      <c r="E316" s="3"/>
      <c r="F316" s="3"/>
      <c r="G316" s="21"/>
      <c r="H316" s="3"/>
      <c r="I316" s="18"/>
      <c r="J316" s="18"/>
      <c r="K316" s="16"/>
      <c r="L316" s="18"/>
      <c r="M316" s="16"/>
      <c r="N316" s="19"/>
      <c r="O316" s="19"/>
      <c r="P316" s="19"/>
      <c r="Q316" s="8"/>
    </row>
    <row r="317" spans="3:17" s="2" customFormat="1" ht="15.75" x14ac:dyDescent="0.25">
      <c r="C317" s="3"/>
      <c r="D317" s="3"/>
      <c r="E317" s="3"/>
      <c r="F317" s="3"/>
      <c r="G317" s="21"/>
      <c r="H317" s="3"/>
      <c r="I317" s="18"/>
      <c r="J317" s="18"/>
      <c r="K317" s="16"/>
      <c r="L317" s="18"/>
      <c r="M317" s="16"/>
      <c r="N317" s="19"/>
      <c r="O317" s="19"/>
      <c r="P317" s="19"/>
      <c r="Q317" s="8"/>
    </row>
    <row r="318" spans="3:17" s="2" customFormat="1" ht="15.75" x14ac:dyDescent="0.25">
      <c r="C318" s="3"/>
      <c r="D318" s="3"/>
      <c r="E318" s="3"/>
      <c r="F318" s="3"/>
      <c r="G318" s="21"/>
      <c r="H318" s="3"/>
      <c r="I318" s="18"/>
      <c r="J318" s="18"/>
      <c r="K318" s="16"/>
      <c r="L318" s="18"/>
      <c r="M318" s="16"/>
      <c r="N318" s="19"/>
      <c r="O318" s="19"/>
      <c r="P318" s="19"/>
      <c r="Q318" s="8"/>
    </row>
    <row r="319" spans="3:17" s="2" customFormat="1" ht="15.75" x14ac:dyDescent="0.25">
      <c r="C319" s="3"/>
      <c r="D319" s="3"/>
      <c r="E319" s="3"/>
      <c r="F319" s="3"/>
      <c r="G319" s="21"/>
      <c r="H319" s="3"/>
      <c r="I319" s="18"/>
      <c r="J319" s="18"/>
      <c r="K319" s="16"/>
      <c r="L319" s="18"/>
      <c r="M319" s="16"/>
      <c r="N319" s="19"/>
      <c r="O319" s="19"/>
      <c r="P319" s="19"/>
      <c r="Q319" s="8"/>
    </row>
    <row r="320" spans="3:17" s="2" customFormat="1" ht="15.75" x14ac:dyDescent="0.25">
      <c r="C320" s="3"/>
      <c r="D320" s="3"/>
      <c r="E320" s="3"/>
      <c r="F320" s="3"/>
      <c r="G320" s="21"/>
      <c r="H320" s="3"/>
      <c r="I320" s="18"/>
      <c r="J320" s="18"/>
      <c r="K320" s="16"/>
      <c r="L320" s="18"/>
      <c r="M320" s="16"/>
      <c r="N320" s="19"/>
      <c r="O320" s="19"/>
      <c r="P320" s="19"/>
      <c r="Q320" s="8"/>
    </row>
    <row r="321" spans="3:19" s="2" customFormat="1" ht="15.75" x14ac:dyDescent="0.25">
      <c r="C321" s="3"/>
      <c r="D321" s="3"/>
      <c r="E321" s="3"/>
      <c r="F321" s="3"/>
      <c r="G321" s="21"/>
      <c r="H321" s="3"/>
      <c r="I321" s="18"/>
      <c r="J321" s="18"/>
      <c r="K321" s="16"/>
      <c r="L321" s="18"/>
      <c r="M321" s="16"/>
      <c r="N321" s="19"/>
      <c r="O321" s="19"/>
      <c r="P321" s="19"/>
      <c r="Q321" s="8"/>
    </row>
    <row r="322" spans="3:19" s="2" customFormat="1" ht="15.75" x14ac:dyDescent="0.25">
      <c r="C322" s="3"/>
      <c r="D322" s="3"/>
      <c r="E322" s="3"/>
      <c r="F322" s="3"/>
      <c r="G322" s="21"/>
      <c r="H322" s="3"/>
      <c r="I322" s="18"/>
      <c r="J322" s="18"/>
      <c r="K322" s="16"/>
      <c r="L322" s="18"/>
      <c r="M322" s="16"/>
      <c r="N322" s="19"/>
      <c r="O322" s="19"/>
      <c r="P322" s="19"/>
      <c r="Q322" s="8"/>
    </row>
    <row r="323" spans="3:19" s="2" customFormat="1" ht="15.75" x14ac:dyDescent="0.25">
      <c r="C323" s="3"/>
      <c r="D323" s="3"/>
      <c r="E323" s="3"/>
      <c r="F323" s="3"/>
      <c r="G323" s="21"/>
      <c r="H323" s="3"/>
      <c r="I323" s="18"/>
      <c r="J323" s="18"/>
      <c r="K323" s="16"/>
      <c r="L323" s="18"/>
      <c r="M323" s="16"/>
      <c r="N323" s="19"/>
      <c r="O323" s="19"/>
      <c r="P323" s="19"/>
      <c r="Q323" s="8"/>
    </row>
    <row r="324" spans="3:19" s="2" customFormat="1" ht="15.75" x14ac:dyDescent="0.25">
      <c r="C324" s="3"/>
      <c r="D324" s="3"/>
      <c r="E324" s="3"/>
      <c r="F324" s="3"/>
      <c r="G324" s="21"/>
      <c r="H324" s="3"/>
      <c r="I324" s="18"/>
      <c r="J324" s="18"/>
      <c r="K324" s="16"/>
      <c r="L324" s="18"/>
      <c r="M324" s="16"/>
      <c r="N324" s="19"/>
      <c r="O324" s="19"/>
      <c r="P324" s="19"/>
      <c r="Q324" s="8"/>
    </row>
    <row r="325" spans="3:19" s="2" customFormat="1" ht="15.75" x14ac:dyDescent="0.25">
      <c r="C325" s="3"/>
      <c r="D325" s="3"/>
      <c r="E325" s="3"/>
      <c r="F325" s="3"/>
      <c r="G325" s="21"/>
      <c r="H325" s="3"/>
      <c r="I325" s="18"/>
      <c r="J325" s="18"/>
      <c r="K325" s="16"/>
      <c r="L325" s="18"/>
      <c r="M325" s="16"/>
      <c r="N325" s="19"/>
      <c r="O325" s="19"/>
      <c r="P325" s="19"/>
      <c r="Q325" s="8"/>
      <c r="S325" s="2" t="e">
        <f>(#REF!/2)-#REF!</f>
        <v>#REF!</v>
      </c>
    </row>
    <row r="326" spans="3:19" s="2" customFormat="1" ht="15.75" x14ac:dyDescent="0.25">
      <c r="C326" s="3"/>
      <c r="D326" s="3"/>
      <c r="E326" s="3"/>
      <c r="F326" s="3"/>
      <c r="G326" s="21"/>
      <c r="H326" s="3"/>
      <c r="I326" s="18"/>
      <c r="J326" s="18"/>
      <c r="K326" s="16"/>
      <c r="L326" s="18"/>
      <c r="M326" s="16"/>
      <c r="N326" s="19"/>
      <c r="O326" s="19"/>
      <c r="P326" s="19"/>
      <c r="Q326" s="8"/>
    </row>
    <row r="327" spans="3:19" s="2" customFormat="1" ht="15.75" x14ac:dyDescent="0.25">
      <c r="C327" s="3"/>
      <c r="D327" s="3"/>
      <c r="E327" s="3"/>
      <c r="F327" s="3"/>
      <c r="G327" s="21"/>
      <c r="H327" s="3"/>
      <c r="I327" s="18"/>
      <c r="J327" s="18"/>
      <c r="K327" s="16"/>
      <c r="L327" s="18"/>
      <c r="M327" s="16"/>
      <c r="N327" s="19"/>
      <c r="O327" s="19"/>
      <c r="P327" s="19"/>
      <c r="Q327" s="8"/>
    </row>
    <row r="328" spans="3:19" s="2" customFormat="1" ht="15.75" x14ac:dyDescent="0.25">
      <c r="C328" s="3"/>
      <c r="D328" s="3"/>
      <c r="E328" s="3"/>
      <c r="F328" s="3"/>
      <c r="G328" s="21"/>
      <c r="H328" s="3"/>
      <c r="I328" s="18"/>
      <c r="J328" s="18"/>
      <c r="K328" s="16"/>
      <c r="L328" s="18"/>
      <c r="M328" s="16"/>
      <c r="N328" s="19"/>
      <c r="O328" s="19"/>
      <c r="P328" s="19"/>
      <c r="Q328" s="8"/>
    </row>
    <row r="329" spans="3:19" s="2" customFormat="1" ht="15.75" x14ac:dyDescent="0.25">
      <c r="C329" s="3"/>
      <c r="D329" s="3"/>
      <c r="E329" s="3"/>
      <c r="F329" s="3"/>
      <c r="G329" s="21"/>
      <c r="H329" s="3"/>
      <c r="I329" s="18"/>
      <c r="J329" s="18"/>
      <c r="K329" s="16"/>
      <c r="L329" s="18"/>
      <c r="M329" s="16"/>
      <c r="N329" s="19"/>
      <c r="O329" s="19"/>
      <c r="P329" s="19"/>
      <c r="Q329" s="8"/>
    </row>
    <row r="330" spans="3:19" s="2" customFormat="1" ht="15.75" x14ac:dyDescent="0.25">
      <c r="C330" s="3"/>
      <c r="D330" s="3"/>
      <c r="E330" s="3"/>
      <c r="F330" s="3"/>
      <c r="G330" s="21"/>
      <c r="H330" s="3"/>
      <c r="I330" s="18"/>
      <c r="J330" s="18"/>
      <c r="K330" s="16"/>
      <c r="L330" s="18"/>
      <c r="M330" s="16"/>
      <c r="N330" s="19"/>
      <c r="O330" s="19"/>
      <c r="P330" s="19"/>
      <c r="Q330" s="8"/>
    </row>
    <row r="331" spans="3:19" s="2" customFormat="1" ht="15.75" x14ac:dyDescent="0.25">
      <c r="C331" s="3"/>
      <c r="D331" s="3"/>
      <c r="E331" s="3"/>
      <c r="F331" s="3"/>
      <c r="G331" s="21"/>
      <c r="H331" s="3"/>
      <c r="I331" s="18"/>
      <c r="J331" s="18"/>
      <c r="K331" s="16"/>
      <c r="L331" s="18"/>
      <c r="M331" s="16"/>
      <c r="N331" s="19"/>
      <c r="O331" s="19"/>
      <c r="P331" s="19"/>
      <c r="Q331" s="8"/>
    </row>
    <row r="332" spans="3:19" s="2" customFormat="1" ht="15.75" x14ac:dyDescent="0.25">
      <c r="C332" s="3"/>
      <c r="D332" s="3"/>
      <c r="E332" s="3"/>
      <c r="F332" s="3"/>
      <c r="G332" s="21"/>
      <c r="H332" s="3"/>
      <c r="I332" s="18"/>
      <c r="J332" s="18"/>
      <c r="K332" s="16"/>
      <c r="L332" s="18"/>
      <c r="M332" s="16"/>
      <c r="N332" s="19"/>
      <c r="O332" s="19"/>
      <c r="P332" s="19"/>
      <c r="Q332" s="8"/>
    </row>
    <row r="333" spans="3:19" s="2" customFormat="1" ht="15.75" x14ac:dyDescent="0.25">
      <c r="C333" s="3"/>
      <c r="D333" s="3"/>
      <c r="E333" s="3"/>
      <c r="F333" s="3"/>
      <c r="G333" s="21"/>
      <c r="H333" s="3"/>
      <c r="I333" s="18"/>
      <c r="J333" s="18"/>
      <c r="K333" s="16"/>
      <c r="L333" s="18"/>
      <c r="M333" s="16"/>
      <c r="N333" s="19"/>
      <c r="O333" s="19"/>
      <c r="P333" s="19"/>
      <c r="Q333" s="8"/>
    </row>
    <row r="334" spans="3:19" s="2" customFormat="1" ht="15.75" x14ac:dyDescent="0.25">
      <c r="C334" s="3"/>
      <c r="D334" s="3"/>
      <c r="E334" s="3"/>
      <c r="F334" s="3"/>
      <c r="G334" s="21"/>
      <c r="H334" s="3"/>
      <c r="I334" s="18"/>
      <c r="J334" s="18"/>
      <c r="K334" s="16"/>
      <c r="L334" s="18"/>
      <c r="M334" s="16"/>
      <c r="N334" s="19"/>
      <c r="O334" s="19"/>
      <c r="P334" s="19"/>
      <c r="Q334" s="8"/>
    </row>
    <row r="335" spans="3:19" s="2" customFormat="1" ht="15.75" x14ac:dyDescent="0.25">
      <c r="C335" s="3"/>
      <c r="D335" s="3"/>
      <c r="E335" s="3"/>
      <c r="F335" s="3"/>
      <c r="G335" s="21"/>
      <c r="H335" s="3"/>
      <c r="I335" s="18"/>
      <c r="J335" s="18"/>
      <c r="K335" s="16"/>
      <c r="L335" s="18"/>
      <c r="M335" s="16"/>
      <c r="N335" s="19"/>
      <c r="O335" s="19"/>
      <c r="P335" s="19"/>
      <c r="Q335" s="8"/>
    </row>
    <row r="336" spans="3:19" s="2" customFormat="1" ht="15.75" x14ac:dyDescent="0.25">
      <c r="C336" s="3"/>
      <c r="D336" s="3"/>
      <c r="E336" s="3"/>
      <c r="F336" s="3"/>
      <c r="G336" s="21"/>
      <c r="H336" s="3"/>
      <c r="I336" s="18"/>
      <c r="J336" s="18"/>
      <c r="K336" s="16"/>
      <c r="L336" s="18"/>
      <c r="M336" s="16"/>
      <c r="N336" s="19"/>
      <c r="O336" s="19"/>
      <c r="P336" s="19"/>
      <c r="Q336" s="8"/>
    </row>
    <row r="337" spans="3:17" s="2" customFormat="1" ht="15.75" x14ac:dyDescent="0.25">
      <c r="C337" s="3"/>
      <c r="D337" s="3"/>
      <c r="E337" s="3"/>
      <c r="F337" s="3"/>
      <c r="G337" s="21"/>
      <c r="H337" s="3"/>
      <c r="I337" s="18"/>
      <c r="J337" s="18"/>
      <c r="K337" s="16"/>
      <c r="L337" s="18"/>
      <c r="M337" s="16"/>
      <c r="N337" s="19"/>
      <c r="O337" s="19"/>
      <c r="P337" s="19"/>
      <c r="Q337" s="8"/>
    </row>
    <row r="338" spans="3:17" s="2" customFormat="1" ht="15.75" x14ac:dyDescent="0.25">
      <c r="C338" s="3"/>
      <c r="D338" s="3"/>
      <c r="E338" s="3"/>
      <c r="F338" s="3"/>
      <c r="G338" s="21"/>
      <c r="H338" s="3"/>
      <c r="I338" s="18"/>
      <c r="J338" s="18"/>
      <c r="K338" s="16"/>
      <c r="L338" s="18"/>
      <c r="M338" s="16"/>
      <c r="N338" s="19"/>
      <c r="O338" s="19"/>
      <c r="P338" s="19"/>
      <c r="Q338" s="8"/>
    </row>
    <row r="339" spans="3:17" s="2" customFormat="1" ht="15.75" x14ac:dyDescent="0.25">
      <c r="C339" s="3"/>
      <c r="D339" s="3"/>
      <c r="E339" s="3"/>
      <c r="F339" s="3"/>
      <c r="G339" s="21"/>
      <c r="H339" s="3"/>
      <c r="I339" s="18"/>
      <c r="J339" s="18"/>
      <c r="K339" s="16"/>
      <c r="L339" s="18"/>
      <c r="M339" s="16"/>
      <c r="N339" s="19"/>
      <c r="O339" s="19"/>
      <c r="P339" s="19"/>
      <c r="Q339" s="8"/>
    </row>
    <row r="340" spans="3:17" s="2" customFormat="1" ht="15.75" x14ac:dyDescent="0.25">
      <c r="C340" s="3"/>
      <c r="D340" s="3"/>
      <c r="E340" s="3"/>
      <c r="F340" s="3"/>
      <c r="G340" s="21"/>
      <c r="H340" s="3"/>
      <c r="I340" s="18"/>
      <c r="J340" s="18"/>
      <c r="K340" s="16"/>
      <c r="L340" s="18"/>
      <c r="M340" s="16"/>
      <c r="N340" s="19"/>
      <c r="O340" s="19"/>
      <c r="P340" s="19"/>
      <c r="Q340" s="8"/>
    </row>
    <row r="341" spans="3:17" s="2" customFormat="1" ht="15.75" x14ac:dyDescent="0.25">
      <c r="C341" s="3"/>
      <c r="D341" s="3"/>
      <c r="E341" s="3"/>
      <c r="F341" s="3"/>
      <c r="G341" s="21"/>
      <c r="H341" s="3"/>
      <c r="I341" s="18"/>
      <c r="J341" s="18"/>
      <c r="K341" s="16"/>
      <c r="L341" s="18"/>
      <c r="M341" s="16"/>
      <c r="N341" s="19"/>
      <c r="O341" s="19"/>
      <c r="P341" s="19"/>
      <c r="Q341" s="8"/>
    </row>
    <row r="342" spans="3:17" s="2" customFormat="1" ht="15.75" x14ac:dyDescent="0.25">
      <c r="C342" s="3"/>
      <c r="D342" s="3"/>
      <c r="E342" s="3"/>
      <c r="F342" s="3"/>
      <c r="G342" s="21"/>
      <c r="H342" s="3"/>
      <c r="I342" s="18"/>
      <c r="J342" s="18"/>
      <c r="K342" s="16"/>
      <c r="L342" s="18"/>
      <c r="M342" s="16"/>
      <c r="N342" s="19"/>
      <c r="O342" s="19"/>
      <c r="P342" s="19"/>
      <c r="Q342" s="8"/>
    </row>
    <row r="343" spans="3:17" s="2" customFormat="1" ht="15.75" x14ac:dyDescent="0.25">
      <c r="C343" s="3"/>
      <c r="D343" s="3"/>
      <c r="E343" s="3"/>
      <c r="F343" s="3"/>
      <c r="G343" s="21"/>
      <c r="H343" s="3"/>
      <c r="I343" s="18"/>
      <c r="J343" s="18"/>
      <c r="K343" s="16"/>
      <c r="L343" s="18"/>
      <c r="M343" s="16"/>
      <c r="N343" s="19"/>
      <c r="O343" s="19"/>
      <c r="P343" s="19"/>
      <c r="Q343" s="8"/>
    </row>
    <row r="344" spans="3:17" s="2" customFormat="1" ht="15.75" x14ac:dyDescent="0.25">
      <c r="C344" s="3"/>
      <c r="D344" s="3"/>
      <c r="E344" s="3"/>
      <c r="F344" s="3"/>
      <c r="G344" s="21"/>
      <c r="H344" s="3"/>
      <c r="I344" s="18"/>
      <c r="J344" s="18"/>
      <c r="K344" s="16"/>
      <c r="L344" s="18"/>
      <c r="M344" s="16"/>
      <c r="N344" s="19"/>
      <c r="O344" s="19"/>
      <c r="P344" s="19"/>
      <c r="Q344" s="8"/>
    </row>
    <row r="345" spans="3:17" s="2" customFormat="1" ht="15.75" x14ac:dyDescent="0.25">
      <c r="C345" s="3"/>
      <c r="D345" s="3"/>
      <c r="E345" s="3"/>
      <c r="F345" s="3"/>
      <c r="G345" s="21"/>
      <c r="H345" s="3"/>
      <c r="I345" s="18"/>
      <c r="J345" s="18"/>
      <c r="K345" s="16"/>
      <c r="L345" s="18"/>
      <c r="M345" s="16"/>
      <c r="N345" s="19"/>
      <c r="O345" s="19"/>
      <c r="P345" s="19"/>
      <c r="Q345" s="8"/>
    </row>
    <row r="346" spans="3:17" s="2" customFormat="1" ht="15.75" x14ac:dyDescent="0.25">
      <c r="C346" s="3"/>
      <c r="D346" s="3"/>
      <c r="E346" s="3"/>
      <c r="F346" s="3"/>
      <c r="G346" s="21"/>
      <c r="H346" s="3"/>
      <c r="I346" s="18"/>
      <c r="J346" s="18"/>
      <c r="K346" s="16"/>
      <c r="L346" s="18"/>
      <c r="M346" s="16"/>
      <c r="N346" s="19"/>
      <c r="O346" s="19"/>
      <c r="P346" s="19"/>
      <c r="Q346" s="8"/>
    </row>
    <row r="347" spans="3:17" s="2" customFormat="1" ht="15.75" x14ac:dyDescent="0.25">
      <c r="C347" s="3"/>
      <c r="D347" s="3"/>
      <c r="E347" s="3"/>
      <c r="F347" s="3"/>
      <c r="G347" s="21"/>
      <c r="H347" s="3"/>
      <c r="I347" s="18"/>
      <c r="J347" s="18"/>
      <c r="K347" s="16"/>
      <c r="L347" s="18"/>
      <c r="M347" s="16"/>
      <c r="N347" s="19"/>
      <c r="O347" s="19"/>
      <c r="P347" s="19"/>
      <c r="Q347" s="8"/>
    </row>
    <row r="348" spans="3:17" s="2" customFormat="1" ht="15.75" x14ac:dyDescent="0.25">
      <c r="C348" s="3"/>
      <c r="D348" s="3"/>
      <c r="E348" s="3"/>
      <c r="F348" s="3"/>
      <c r="G348" s="21"/>
      <c r="H348" s="3"/>
      <c r="I348" s="18"/>
      <c r="J348" s="18"/>
      <c r="K348" s="16"/>
      <c r="L348" s="18"/>
      <c r="M348" s="16"/>
      <c r="N348" s="19"/>
      <c r="O348" s="19"/>
      <c r="P348" s="19"/>
      <c r="Q348" s="8"/>
    </row>
    <row r="349" spans="3:17" s="2" customFormat="1" ht="15.75" x14ac:dyDescent="0.25">
      <c r="C349" s="3"/>
      <c r="D349" s="3"/>
      <c r="E349" s="3"/>
      <c r="F349" s="3"/>
      <c r="G349" s="21"/>
      <c r="H349" s="3"/>
      <c r="I349" s="18"/>
      <c r="J349" s="18"/>
      <c r="K349" s="16"/>
      <c r="L349" s="18"/>
      <c r="M349" s="16"/>
      <c r="N349" s="19"/>
      <c r="O349" s="19"/>
      <c r="P349" s="19"/>
      <c r="Q349" s="8"/>
    </row>
    <row r="350" spans="3:17" s="2" customFormat="1" ht="15.75" x14ac:dyDescent="0.25">
      <c r="C350" s="3"/>
      <c r="D350" s="3"/>
      <c r="E350" s="3"/>
      <c r="F350" s="3"/>
      <c r="G350" s="21"/>
      <c r="H350" s="3"/>
      <c r="I350" s="18"/>
      <c r="J350" s="18"/>
      <c r="K350" s="16"/>
      <c r="L350" s="18"/>
      <c r="M350" s="16"/>
      <c r="N350" s="19"/>
      <c r="O350" s="19"/>
      <c r="P350" s="19"/>
      <c r="Q350" s="8"/>
    </row>
    <row r="351" spans="3:17" s="2" customFormat="1" ht="15.75" x14ac:dyDescent="0.25">
      <c r="C351" s="3"/>
      <c r="D351" s="3"/>
      <c r="E351" s="3"/>
      <c r="F351" s="3"/>
      <c r="G351" s="21"/>
      <c r="H351" s="3"/>
      <c r="I351" s="18"/>
      <c r="J351" s="18"/>
      <c r="K351" s="16"/>
      <c r="L351" s="18"/>
      <c r="M351" s="16"/>
      <c r="N351" s="19"/>
      <c r="O351" s="19"/>
      <c r="P351" s="19"/>
      <c r="Q351" s="8"/>
    </row>
    <row r="352" spans="3:17" s="2" customFormat="1" ht="15.75" x14ac:dyDescent="0.25">
      <c r="C352" s="3"/>
      <c r="D352" s="3"/>
      <c r="E352" s="3"/>
      <c r="F352" s="3"/>
      <c r="G352" s="21"/>
      <c r="H352" s="3"/>
      <c r="I352" s="18"/>
      <c r="J352" s="18"/>
      <c r="K352" s="16"/>
      <c r="L352" s="18"/>
      <c r="M352" s="16"/>
      <c r="N352" s="19"/>
      <c r="O352" s="19"/>
      <c r="P352" s="19"/>
      <c r="Q352" s="8"/>
    </row>
    <row r="353" spans="3:17" s="2" customFormat="1" ht="15.75" x14ac:dyDescent="0.25">
      <c r="C353" s="3"/>
      <c r="D353" s="3"/>
      <c r="E353" s="3"/>
      <c r="F353" s="3"/>
      <c r="G353" s="21"/>
      <c r="H353" s="3"/>
      <c r="I353" s="18"/>
      <c r="J353" s="18"/>
      <c r="K353" s="16"/>
      <c r="L353" s="18"/>
      <c r="M353" s="16"/>
      <c r="N353" s="19"/>
      <c r="O353" s="19"/>
      <c r="P353" s="19"/>
      <c r="Q353" s="8"/>
    </row>
    <row r="354" spans="3:17" s="2" customFormat="1" ht="15.75" x14ac:dyDescent="0.25">
      <c r="C354" s="3"/>
      <c r="D354" s="3"/>
      <c r="E354" s="3"/>
      <c r="F354" s="3"/>
      <c r="G354" s="21"/>
      <c r="H354" s="3"/>
      <c r="I354" s="18"/>
      <c r="J354" s="18"/>
      <c r="K354" s="16"/>
      <c r="L354" s="18"/>
      <c r="M354" s="16"/>
      <c r="N354" s="19"/>
      <c r="O354" s="19"/>
      <c r="P354" s="19"/>
      <c r="Q354" s="8"/>
    </row>
    <row r="355" spans="3:17" s="2" customFormat="1" ht="15.75" x14ac:dyDescent="0.25">
      <c r="C355" s="3"/>
      <c r="D355" s="3"/>
      <c r="E355" s="3"/>
      <c r="F355" s="3"/>
      <c r="G355" s="21"/>
      <c r="H355" s="3"/>
      <c r="I355" s="18"/>
      <c r="J355" s="18"/>
      <c r="K355" s="16"/>
      <c r="L355" s="18"/>
      <c r="M355" s="16"/>
      <c r="N355" s="19"/>
      <c r="O355" s="19"/>
      <c r="P355" s="19"/>
      <c r="Q355" s="8"/>
    </row>
    <row r="356" spans="3:17" s="2" customFormat="1" ht="15.75" x14ac:dyDescent="0.25">
      <c r="C356" s="1"/>
      <c r="D356" s="1"/>
      <c r="E356" s="1"/>
      <c r="F356" s="1"/>
      <c r="G356" s="15"/>
      <c r="H356" s="1"/>
      <c r="I356" s="20"/>
      <c r="J356" s="20"/>
      <c r="K356" s="14"/>
      <c r="L356" s="20"/>
      <c r="M356" s="14"/>
      <c r="N356" s="17"/>
      <c r="O356" s="17"/>
      <c r="P356" s="17"/>
      <c r="Q356" s="7"/>
    </row>
    <row r="357" spans="3:17" s="2" customFormat="1" ht="15.75" x14ac:dyDescent="0.25">
      <c r="C357" s="1"/>
      <c r="D357" s="1"/>
      <c r="E357" s="1"/>
      <c r="F357" s="1"/>
      <c r="G357" s="15"/>
      <c r="H357" s="1"/>
      <c r="I357" s="20"/>
      <c r="J357" s="20"/>
      <c r="K357" s="14"/>
      <c r="L357" s="20"/>
      <c r="M357" s="14"/>
      <c r="N357" s="17"/>
      <c r="O357" s="17"/>
      <c r="P357" s="17"/>
      <c r="Q357" s="7"/>
    </row>
    <row r="358" spans="3:17" s="2" customFormat="1" ht="15.75" x14ac:dyDescent="0.25">
      <c r="C358" s="1"/>
      <c r="D358" s="1"/>
      <c r="E358" s="1"/>
      <c r="F358" s="1"/>
      <c r="G358" s="15"/>
      <c r="H358" s="1"/>
      <c r="I358" s="20"/>
      <c r="J358" s="20"/>
      <c r="K358" s="14"/>
      <c r="L358" s="20"/>
      <c r="M358" s="14"/>
      <c r="N358" s="17"/>
      <c r="O358" s="17"/>
      <c r="P358" s="17"/>
      <c r="Q358" s="7"/>
    </row>
    <row r="359" spans="3:17" s="2" customFormat="1" ht="15.75" x14ac:dyDescent="0.25">
      <c r="C359" s="1"/>
      <c r="D359" s="1"/>
      <c r="E359" s="1"/>
      <c r="F359" s="1"/>
      <c r="G359" s="15"/>
      <c r="H359" s="1"/>
      <c r="I359" s="20"/>
      <c r="J359" s="20"/>
      <c r="K359" s="14"/>
      <c r="L359" s="20"/>
      <c r="M359" s="14"/>
      <c r="N359" s="17"/>
      <c r="O359" s="17"/>
      <c r="P359" s="17"/>
      <c r="Q359" s="7"/>
    </row>
    <row r="360" spans="3:17" s="2" customFormat="1" ht="15.75" x14ac:dyDescent="0.25">
      <c r="C360" s="1"/>
      <c r="D360" s="1"/>
      <c r="E360" s="1"/>
      <c r="F360" s="1"/>
      <c r="G360" s="15"/>
      <c r="H360" s="1"/>
      <c r="I360" s="20"/>
      <c r="J360" s="20"/>
      <c r="K360" s="14"/>
      <c r="L360" s="20"/>
      <c r="M360" s="14"/>
      <c r="N360" s="17"/>
      <c r="O360" s="17"/>
      <c r="P360" s="17"/>
      <c r="Q360" s="7"/>
    </row>
    <row r="361" spans="3:17" s="2" customFormat="1" ht="15.75" x14ac:dyDescent="0.25">
      <c r="C361" s="1"/>
      <c r="D361" s="1"/>
      <c r="E361" s="1"/>
      <c r="F361" s="1"/>
      <c r="G361" s="15"/>
      <c r="H361" s="1"/>
      <c r="I361" s="20"/>
      <c r="J361" s="20"/>
      <c r="K361" s="14"/>
      <c r="L361" s="20"/>
      <c r="M361" s="14"/>
      <c r="N361" s="17"/>
      <c r="O361" s="17"/>
      <c r="P361" s="17"/>
      <c r="Q361" s="7"/>
    </row>
    <row r="362" spans="3:17" s="2" customFormat="1" ht="15.75" x14ac:dyDescent="0.25">
      <c r="C362" s="1"/>
      <c r="D362" s="1"/>
      <c r="E362" s="1"/>
      <c r="F362" s="1"/>
      <c r="G362" s="15"/>
      <c r="H362" s="1"/>
      <c r="I362" s="20"/>
      <c r="J362" s="20"/>
      <c r="K362" s="14"/>
      <c r="L362" s="20"/>
      <c r="M362" s="14"/>
      <c r="N362" s="17"/>
      <c r="O362" s="17"/>
      <c r="P362" s="17"/>
      <c r="Q362" s="7"/>
    </row>
    <row r="363" spans="3:17" s="2" customFormat="1" ht="15.75" x14ac:dyDescent="0.25">
      <c r="C363" s="1"/>
      <c r="D363" s="1"/>
      <c r="E363" s="1"/>
      <c r="F363" s="1"/>
      <c r="G363" s="15"/>
      <c r="H363" s="1"/>
      <c r="I363" s="20"/>
      <c r="J363" s="20"/>
      <c r="K363" s="14"/>
      <c r="L363" s="20"/>
      <c r="M363" s="14"/>
      <c r="N363" s="17"/>
      <c r="O363" s="17"/>
      <c r="P363" s="17"/>
      <c r="Q363" s="7"/>
    </row>
    <row r="364" spans="3:17" s="2" customFormat="1" ht="15.75" x14ac:dyDescent="0.25">
      <c r="C364" s="1"/>
      <c r="D364" s="1"/>
      <c r="E364" s="1"/>
      <c r="F364" s="1"/>
      <c r="G364" s="15"/>
      <c r="H364" s="1"/>
      <c r="I364" s="20"/>
      <c r="J364" s="20"/>
      <c r="K364" s="14"/>
      <c r="L364" s="20"/>
      <c r="M364" s="14"/>
      <c r="N364" s="17"/>
      <c r="O364" s="17"/>
      <c r="P364" s="17"/>
      <c r="Q364" s="7"/>
    </row>
    <row r="365" spans="3:17" s="2" customFormat="1" ht="15.75" x14ac:dyDescent="0.25">
      <c r="C365" s="1"/>
      <c r="D365" s="1"/>
      <c r="E365" s="1"/>
      <c r="F365" s="1"/>
      <c r="G365" s="15"/>
      <c r="H365" s="1"/>
      <c r="I365" s="20"/>
      <c r="J365" s="20"/>
      <c r="K365" s="14"/>
      <c r="L365" s="20"/>
      <c r="M365" s="14"/>
      <c r="N365" s="17"/>
      <c r="O365" s="17"/>
      <c r="P365" s="17"/>
      <c r="Q365" s="7"/>
    </row>
    <row r="366" spans="3:17" s="2" customFormat="1" ht="15.75" x14ac:dyDescent="0.25">
      <c r="C366" s="1"/>
      <c r="D366" s="1"/>
      <c r="E366" s="1"/>
      <c r="F366" s="1"/>
      <c r="G366" s="15"/>
      <c r="H366" s="1"/>
      <c r="I366" s="20"/>
      <c r="J366" s="20"/>
      <c r="K366" s="14"/>
      <c r="L366" s="20"/>
      <c r="M366" s="14"/>
      <c r="N366" s="17"/>
      <c r="O366" s="17"/>
      <c r="P366" s="17"/>
      <c r="Q366" s="7"/>
    </row>
    <row r="367" spans="3:17" s="2" customFormat="1" ht="15.75" x14ac:dyDescent="0.25">
      <c r="C367" s="1"/>
      <c r="D367" s="1"/>
      <c r="E367" s="1"/>
      <c r="F367" s="1"/>
      <c r="G367" s="15"/>
      <c r="H367" s="1"/>
      <c r="I367" s="20"/>
      <c r="J367" s="20"/>
      <c r="K367" s="14"/>
      <c r="L367" s="20"/>
      <c r="M367" s="14"/>
      <c r="N367" s="17"/>
      <c r="O367" s="17"/>
      <c r="P367" s="17"/>
      <c r="Q367" s="7"/>
    </row>
    <row r="368" spans="3:17" s="2" customFormat="1" ht="15.75" x14ac:dyDescent="0.25">
      <c r="C368" s="1"/>
      <c r="D368" s="1"/>
      <c r="E368" s="1"/>
      <c r="F368" s="1"/>
      <c r="G368" s="15"/>
      <c r="H368" s="1"/>
      <c r="I368" s="20"/>
      <c r="J368" s="20"/>
      <c r="K368" s="14"/>
      <c r="L368" s="20"/>
      <c r="M368" s="14"/>
      <c r="N368" s="17"/>
      <c r="O368" s="17"/>
      <c r="P368" s="17"/>
      <c r="Q368" s="7"/>
    </row>
    <row r="369" spans="3:17" s="2" customFormat="1" ht="15.75" x14ac:dyDescent="0.25">
      <c r="C369" s="1"/>
      <c r="D369" s="1"/>
      <c r="E369" s="1"/>
      <c r="F369" s="1"/>
      <c r="G369" s="15"/>
      <c r="H369" s="1"/>
      <c r="I369" s="20"/>
      <c r="J369" s="20"/>
      <c r="K369" s="14"/>
      <c r="L369" s="20"/>
      <c r="M369" s="14"/>
      <c r="N369" s="17"/>
      <c r="O369" s="17"/>
      <c r="P369" s="17"/>
      <c r="Q369" s="7"/>
    </row>
    <row r="370" spans="3:17" s="2" customFormat="1" ht="15.75" x14ac:dyDescent="0.25">
      <c r="C370" s="1"/>
      <c r="D370" s="1"/>
      <c r="E370" s="1"/>
      <c r="F370" s="1"/>
      <c r="G370" s="15"/>
      <c r="H370" s="1"/>
      <c r="I370" s="20"/>
      <c r="J370" s="20"/>
      <c r="K370" s="14"/>
      <c r="L370" s="20"/>
      <c r="M370" s="14"/>
      <c r="N370" s="17"/>
      <c r="O370" s="17"/>
      <c r="P370" s="17"/>
      <c r="Q370" s="7"/>
    </row>
    <row r="371" spans="3:17" s="2" customFormat="1" ht="15.75" x14ac:dyDescent="0.25">
      <c r="C371" s="1"/>
      <c r="D371" s="1"/>
      <c r="E371" s="1"/>
      <c r="F371" s="1"/>
      <c r="G371" s="15"/>
      <c r="H371" s="1"/>
      <c r="I371" s="20"/>
      <c r="J371" s="20"/>
      <c r="K371" s="14"/>
      <c r="L371" s="20"/>
      <c r="M371" s="14"/>
      <c r="N371" s="17"/>
      <c r="O371" s="17"/>
      <c r="P371" s="17"/>
      <c r="Q371" s="7"/>
    </row>
    <row r="372" spans="3:17" s="2" customFormat="1" ht="15.75" x14ac:dyDescent="0.25">
      <c r="C372" s="1"/>
      <c r="D372" s="1"/>
      <c r="E372" s="1"/>
      <c r="F372" s="1"/>
      <c r="G372" s="15"/>
      <c r="H372" s="1"/>
      <c r="I372" s="20"/>
      <c r="J372" s="20"/>
      <c r="K372" s="14"/>
      <c r="L372" s="20"/>
      <c r="M372" s="14"/>
      <c r="N372" s="17"/>
      <c r="O372" s="17"/>
      <c r="P372" s="17"/>
      <c r="Q372" s="7"/>
    </row>
    <row r="373" spans="3:17" s="2" customFormat="1" ht="15.75" x14ac:dyDescent="0.25">
      <c r="C373" s="1"/>
      <c r="D373" s="1"/>
      <c r="E373" s="1"/>
      <c r="F373" s="1"/>
      <c r="G373" s="15"/>
      <c r="H373" s="1"/>
      <c r="I373" s="20"/>
      <c r="J373" s="20"/>
      <c r="K373" s="14"/>
      <c r="L373" s="20"/>
      <c r="M373" s="14"/>
      <c r="N373" s="17"/>
      <c r="O373" s="17"/>
      <c r="P373" s="17"/>
      <c r="Q373" s="7"/>
    </row>
    <row r="374" spans="3:17" s="2" customFormat="1" ht="15.75" x14ac:dyDescent="0.25">
      <c r="C374" s="1"/>
      <c r="D374" s="1"/>
      <c r="E374" s="1"/>
      <c r="F374" s="1"/>
      <c r="G374" s="15"/>
      <c r="H374" s="1"/>
      <c r="I374" s="20"/>
      <c r="J374" s="20"/>
      <c r="K374" s="14"/>
      <c r="L374" s="20"/>
      <c r="M374" s="14"/>
      <c r="N374" s="17"/>
      <c r="O374" s="17"/>
      <c r="P374" s="17"/>
      <c r="Q374" s="7"/>
    </row>
    <row r="375" spans="3:17" s="2" customFormat="1" ht="15.75" x14ac:dyDescent="0.25">
      <c r="C375" s="1"/>
      <c r="D375" s="1"/>
      <c r="E375" s="1"/>
      <c r="F375" s="1"/>
      <c r="G375" s="15"/>
      <c r="H375" s="1"/>
      <c r="I375" s="20"/>
      <c r="J375" s="20"/>
      <c r="K375" s="14"/>
      <c r="L375" s="20"/>
      <c r="M375" s="14"/>
      <c r="N375" s="17"/>
      <c r="O375" s="17"/>
      <c r="P375" s="17"/>
      <c r="Q375" s="7"/>
    </row>
    <row r="376" spans="3:17" s="2" customFormat="1" ht="15.75" x14ac:dyDescent="0.25">
      <c r="C376" s="1"/>
      <c r="D376" s="1"/>
      <c r="E376" s="1"/>
      <c r="F376" s="1"/>
      <c r="G376" s="15"/>
      <c r="H376" s="1"/>
      <c r="I376" s="20"/>
      <c r="J376" s="20"/>
      <c r="K376" s="14"/>
      <c r="L376" s="20"/>
      <c r="M376" s="14"/>
      <c r="N376" s="17"/>
      <c r="O376" s="17"/>
      <c r="P376" s="17"/>
      <c r="Q376" s="7"/>
    </row>
    <row r="377" spans="3:17" s="2" customFormat="1" ht="15.75" x14ac:dyDescent="0.25">
      <c r="C377" s="1"/>
      <c r="D377" s="1"/>
      <c r="E377" s="1"/>
      <c r="F377" s="1"/>
      <c r="G377" s="15"/>
      <c r="H377" s="1"/>
      <c r="I377" s="20"/>
      <c r="J377" s="20"/>
      <c r="K377" s="14"/>
      <c r="L377" s="20"/>
      <c r="M377" s="14"/>
      <c r="N377" s="17"/>
      <c r="O377" s="17"/>
      <c r="P377" s="17"/>
      <c r="Q377" s="7"/>
    </row>
    <row r="378" spans="3:17" s="2" customFormat="1" ht="15.75" x14ac:dyDescent="0.25">
      <c r="C378" s="1"/>
      <c r="D378" s="1"/>
      <c r="E378" s="1"/>
      <c r="F378" s="1"/>
      <c r="G378" s="15"/>
      <c r="H378" s="1"/>
      <c r="I378" s="20"/>
      <c r="J378" s="20"/>
      <c r="K378" s="14"/>
      <c r="L378" s="20"/>
      <c r="M378" s="14"/>
      <c r="N378" s="17"/>
      <c r="O378" s="17"/>
      <c r="P378" s="17"/>
      <c r="Q378" s="7"/>
    </row>
    <row r="379" spans="3:17" s="2" customFormat="1" ht="15.75" x14ac:dyDescent="0.25">
      <c r="C379" s="1"/>
      <c r="D379" s="1"/>
      <c r="E379" s="1"/>
      <c r="F379" s="1"/>
      <c r="G379" s="15"/>
      <c r="H379" s="1"/>
      <c r="I379" s="20"/>
      <c r="J379" s="20"/>
      <c r="K379" s="14"/>
      <c r="L379" s="20"/>
      <c r="M379" s="14"/>
      <c r="N379" s="17"/>
      <c r="O379" s="17"/>
      <c r="P379" s="17"/>
      <c r="Q379" s="7"/>
    </row>
    <row r="380" spans="3:17" s="2" customFormat="1" ht="15.75" x14ac:dyDescent="0.25">
      <c r="C380" s="1"/>
      <c r="D380" s="1"/>
      <c r="E380" s="1"/>
      <c r="F380" s="1"/>
      <c r="G380" s="15"/>
      <c r="H380" s="1"/>
      <c r="I380" s="20"/>
      <c r="J380" s="20"/>
      <c r="K380" s="14"/>
      <c r="L380" s="20"/>
      <c r="M380" s="14"/>
      <c r="N380" s="17"/>
      <c r="O380" s="17"/>
      <c r="P380" s="17"/>
      <c r="Q380" s="7"/>
    </row>
    <row r="381" spans="3:17" s="2" customFormat="1" ht="15.75" x14ac:dyDescent="0.25">
      <c r="C381" s="1"/>
      <c r="D381" s="1"/>
      <c r="E381" s="1"/>
      <c r="F381" s="1"/>
      <c r="G381" s="15"/>
      <c r="H381" s="1"/>
      <c r="I381" s="20"/>
      <c r="J381" s="20"/>
      <c r="K381" s="14"/>
      <c r="L381" s="20"/>
      <c r="M381" s="14"/>
      <c r="N381" s="17"/>
      <c r="O381" s="17"/>
      <c r="P381" s="17"/>
      <c r="Q381" s="7"/>
    </row>
    <row r="382" spans="3:17" s="2" customFormat="1" ht="15.75" x14ac:dyDescent="0.25">
      <c r="C382" s="1"/>
      <c r="D382" s="1"/>
      <c r="E382" s="1"/>
      <c r="F382" s="1"/>
      <c r="G382" s="15"/>
      <c r="H382" s="1"/>
      <c r="I382" s="20"/>
      <c r="J382" s="20"/>
      <c r="K382" s="14"/>
      <c r="L382" s="20"/>
      <c r="M382" s="14"/>
      <c r="N382" s="17"/>
      <c r="O382" s="17"/>
      <c r="P382" s="17"/>
      <c r="Q382" s="7"/>
    </row>
    <row r="383" spans="3:17" s="2" customFormat="1" ht="15.75" x14ac:dyDescent="0.25">
      <c r="C383" s="1"/>
      <c r="D383" s="1"/>
      <c r="E383" s="1"/>
      <c r="F383" s="1"/>
      <c r="G383" s="15"/>
      <c r="H383" s="1"/>
      <c r="I383" s="20"/>
      <c r="J383" s="20"/>
      <c r="K383" s="14"/>
      <c r="L383" s="20"/>
      <c r="M383" s="14"/>
      <c r="N383" s="17"/>
      <c r="O383" s="17"/>
      <c r="P383" s="17"/>
      <c r="Q383" s="7"/>
    </row>
    <row r="384" spans="3:17" s="2" customFormat="1" ht="15.75" x14ac:dyDescent="0.25">
      <c r="C384" s="1"/>
      <c r="D384" s="1"/>
      <c r="E384" s="1"/>
      <c r="F384" s="1"/>
      <c r="G384" s="15"/>
      <c r="H384" s="1"/>
      <c r="I384" s="20"/>
      <c r="J384" s="20"/>
      <c r="K384" s="14"/>
      <c r="L384" s="20"/>
      <c r="M384" s="14"/>
      <c r="N384" s="17"/>
      <c r="O384" s="17"/>
      <c r="P384" s="17"/>
      <c r="Q384" s="7"/>
    </row>
    <row r="385" spans="3:19" s="2" customFormat="1" ht="15.75" x14ac:dyDescent="0.25">
      <c r="C385" s="1"/>
      <c r="D385" s="1"/>
      <c r="E385" s="1"/>
      <c r="F385" s="1"/>
      <c r="G385" s="15"/>
      <c r="H385" s="1"/>
      <c r="I385" s="20"/>
      <c r="J385" s="20"/>
      <c r="K385" s="14"/>
      <c r="L385" s="20"/>
      <c r="M385" s="14"/>
      <c r="N385" s="17"/>
      <c r="O385" s="17"/>
      <c r="P385" s="17"/>
      <c r="Q385" s="7"/>
    </row>
    <row r="386" spans="3:19" s="2" customFormat="1" ht="15.75" x14ac:dyDescent="0.25">
      <c r="C386" s="1"/>
      <c r="D386" s="1"/>
      <c r="E386" s="1"/>
      <c r="F386" s="1"/>
      <c r="G386" s="15"/>
      <c r="H386" s="1"/>
      <c r="I386" s="20"/>
      <c r="J386" s="20"/>
      <c r="K386" s="14"/>
      <c r="L386" s="20"/>
      <c r="M386" s="14"/>
      <c r="N386" s="17"/>
      <c r="O386" s="17"/>
      <c r="P386" s="17"/>
      <c r="Q386" s="7"/>
    </row>
    <row r="387" spans="3:19" s="2" customFormat="1" ht="15.75" x14ac:dyDescent="0.25">
      <c r="C387" s="1"/>
      <c r="D387" s="1"/>
      <c r="E387" s="1"/>
      <c r="F387" s="1"/>
      <c r="G387" s="15"/>
      <c r="H387" s="1"/>
      <c r="I387" s="20"/>
      <c r="J387" s="20"/>
      <c r="K387" s="14"/>
      <c r="L387" s="20"/>
      <c r="M387" s="14"/>
      <c r="N387" s="17"/>
      <c r="O387" s="17"/>
      <c r="P387" s="17"/>
      <c r="Q387" s="7"/>
    </row>
    <row r="388" spans="3:19" s="2" customFormat="1" ht="15.75" x14ac:dyDescent="0.25">
      <c r="C388" s="1"/>
      <c r="D388" s="1"/>
      <c r="E388" s="1"/>
      <c r="F388" s="1"/>
      <c r="G388" s="15"/>
      <c r="H388" s="1"/>
      <c r="I388" s="20"/>
      <c r="J388" s="20"/>
      <c r="K388" s="14"/>
      <c r="L388" s="20"/>
      <c r="M388" s="14"/>
      <c r="N388" s="17"/>
      <c r="O388" s="17"/>
      <c r="P388" s="17"/>
      <c r="Q388" s="7"/>
    </row>
    <row r="389" spans="3:19" s="2" customFormat="1" ht="15.75" x14ac:dyDescent="0.25">
      <c r="C389" s="1"/>
      <c r="D389" s="1"/>
      <c r="E389" s="1"/>
      <c r="F389" s="1"/>
      <c r="G389" s="15"/>
      <c r="H389" s="1"/>
      <c r="I389" s="20"/>
      <c r="J389" s="20"/>
      <c r="K389" s="14"/>
      <c r="L389" s="20"/>
      <c r="M389" s="14"/>
      <c r="N389" s="17"/>
      <c r="O389" s="17"/>
      <c r="P389" s="17"/>
      <c r="Q389" s="7"/>
    </row>
    <row r="390" spans="3:19" s="2" customFormat="1" ht="15.75" x14ac:dyDescent="0.25">
      <c r="C390" s="1"/>
      <c r="D390" s="1"/>
      <c r="E390" s="1"/>
      <c r="F390" s="1"/>
      <c r="G390" s="15"/>
      <c r="H390" s="1"/>
      <c r="I390" s="20"/>
      <c r="J390" s="20"/>
      <c r="K390" s="14"/>
      <c r="L390" s="20"/>
      <c r="M390" s="14"/>
      <c r="N390" s="17"/>
      <c r="O390" s="17"/>
      <c r="P390" s="17"/>
      <c r="Q390" s="7"/>
    </row>
    <row r="391" spans="3:19" s="2" customFormat="1" ht="15.75" x14ac:dyDescent="0.25">
      <c r="C391" s="1"/>
      <c r="D391" s="1"/>
      <c r="E391" s="1"/>
      <c r="F391" s="1"/>
      <c r="G391" s="15"/>
      <c r="H391" s="1"/>
      <c r="I391" s="20"/>
      <c r="J391" s="20"/>
      <c r="K391" s="14"/>
      <c r="L391" s="20"/>
      <c r="M391" s="14"/>
      <c r="N391" s="17"/>
      <c r="O391" s="17"/>
      <c r="P391" s="17"/>
      <c r="Q391" s="7"/>
    </row>
    <row r="392" spans="3:19" s="2" customFormat="1" ht="15.75" x14ac:dyDescent="0.25">
      <c r="C392" s="1"/>
      <c r="D392" s="1"/>
      <c r="E392" s="1"/>
      <c r="F392" s="1"/>
      <c r="G392" s="15"/>
      <c r="H392" s="1"/>
      <c r="I392" s="20"/>
      <c r="J392" s="20"/>
      <c r="K392" s="14"/>
      <c r="L392" s="20"/>
      <c r="M392" s="14"/>
      <c r="N392" s="17"/>
      <c r="O392" s="17"/>
      <c r="P392" s="17"/>
      <c r="Q392" s="7"/>
      <c r="S392" s="2" t="s">
        <v>12</v>
      </c>
    </row>
    <row r="393" spans="3:19" s="2" customFormat="1" ht="15.75" x14ac:dyDescent="0.25">
      <c r="C393" s="1"/>
      <c r="D393" s="1"/>
      <c r="E393" s="1"/>
      <c r="F393" s="1"/>
      <c r="G393" s="15"/>
      <c r="H393" s="1"/>
      <c r="I393" s="20"/>
      <c r="J393" s="20"/>
      <c r="K393" s="14"/>
      <c r="L393" s="20"/>
      <c r="M393" s="14"/>
      <c r="N393" s="17"/>
      <c r="O393" s="17"/>
      <c r="P393" s="17"/>
      <c r="Q393" s="7"/>
    </row>
    <row r="394" spans="3:19" s="2" customFormat="1" ht="15.75" x14ac:dyDescent="0.25">
      <c r="C394" s="1"/>
      <c r="D394" s="1"/>
      <c r="E394" s="1"/>
      <c r="F394" s="1"/>
      <c r="G394" s="15"/>
      <c r="H394" s="1"/>
      <c r="I394" s="20"/>
      <c r="J394" s="20"/>
      <c r="K394" s="14"/>
      <c r="L394" s="20"/>
      <c r="M394" s="14"/>
      <c r="N394" s="17"/>
      <c r="O394" s="17"/>
      <c r="P394" s="17"/>
      <c r="Q394" s="7"/>
    </row>
    <row r="395" spans="3:19" s="2" customFormat="1" ht="15.75" x14ac:dyDescent="0.25">
      <c r="C395" s="1"/>
      <c r="D395" s="1"/>
      <c r="E395" s="1"/>
      <c r="F395" s="1"/>
      <c r="G395" s="15"/>
      <c r="H395" s="1"/>
      <c r="I395" s="20"/>
      <c r="J395" s="20"/>
      <c r="K395" s="14"/>
      <c r="L395" s="20"/>
      <c r="M395" s="14"/>
      <c r="N395" s="17"/>
      <c r="O395" s="17"/>
      <c r="P395" s="17"/>
      <c r="Q395" s="7"/>
    </row>
    <row r="396" spans="3:19" s="2" customFormat="1" ht="15.75" x14ac:dyDescent="0.25">
      <c r="C396" s="1"/>
      <c r="D396" s="1"/>
      <c r="E396" s="1"/>
      <c r="F396" s="1"/>
      <c r="G396" s="15"/>
      <c r="H396" s="1"/>
      <c r="I396" s="20"/>
      <c r="J396" s="20"/>
      <c r="K396" s="14"/>
      <c r="L396" s="20"/>
      <c r="M396" s="14"/>
      <c r="N396" s="17"/>
      <c r="O396" s="17"/>
      <c r="P396" s="17"/>
      <c r="Q396" s="7"/>
    </row>
    <row r="397" spans="3:19" s="2" customFormat="1" ht="15.75" x14ac:dyDescent="0.25">
      <c r="C397" s="1"/>
      <c r="D397" s="1"/>
      <c r="E397" s="1"/>
      <c r="F397" s="1"/>
      <c r="G397" s="15"/>
      <c r="H397" s="1"/>
      <c r="I397" s="20"/>
      <c r="J397" s="20"/>
      <c r="K397" s="14"/>
      <c r="L397" s="20"/>
      <c r="M397" s="14"/>
      <c r="N397" s="17"/>
      <c r="O397" s="17"/>
      <c r="P397" s="17"/>
      <c r="Q397" s="7"/>
    </row>
    <row r="398" spans="3:19" s="2" customFormat="1" ht="15.75" x14ac:dyDescent="0.25">
      <c r="C398" s="1"/>
      <c r="D398" s="1"/>
      <c r="E398" s="1"/>
      <c r="F398" s="1"/>
      <c r="G398" s="15"/>
      <c r="H398" s="1"/>
      <c r="I398" s="20"/>
      <c r="J398" s="20"/>
      <c r="K398" s="14"/>
      <c r="L398" s="20"/>
      <c r="M398" s="14"/>
      <c r="N398" s="17"/>
      <c r="O398" s="17"/>
      <c r="P398" s="17"/>
      <c r="Q398" s="7"/>
    </row>
    <row r="399" spans="3:19" s="2" customFormat="1" ht="15.75" x14ac:dyDescent="0.25">
      <c r="C399" s="1"/>
      <c r="D399" s="1"/>
      <c r="E399" s="1"/>
      <c r="F399" s="1"/>
      <c r="G399" s="15"/>
      <c r="H399" s="1"/>
      <c r="I399" s="20"/>
      <c r="J399" s="20"/>
      <c r="K399" s="14"/>
      <c r="L399" s="20"/>
      <c r="M399" s="14"/>
      <c r="N399" s="17"/>
      <c r="O399" s="17"/>
      <c r="P399" s="17"/>
      <c r="Q399" s="7"/>
    </row>
    <row r="400" spans="3:19" s="2" customFormat="1" ht="15.75" x14ac:dyDescent="0.25">
      <c r="C400" s="1"/>
      <c r="D400" s="1"/>
      <c r="E400" s="1"/>
      <c r="F400" s="1"/>
      <c r="G400" s="15"/>
      <c r="H400" s="1"/>
      <c r="I400" s="20"/>
      <c r="J400" s="20"/>
      <c r="K400" s="14"/>
      <c r="L400" s="20"/>
      <c r="M400" s="14"/>
      <c r="N400" s="17"/>
      <c r="O400" s="17"/>
      <c r="P400" s="17"/>
      <c r="Q400" s="7"/>
    </row>
    <row r="401" spans="3:17" s="2" customFormat="1" ht="15.75" x14ac:dyDescent="0.25">
      <c r="C401" s="1"/>
      <c r="D401" s="1"/>
      <c r="E401" s="1"/>
      <c r="F401" s="1"/>
      <c r="G401" s="15"/>
      <c r="H401" s="1"/>
      <c r="I401" s="20"/>
      <c r="J401" s="20"/>
      <c r="K401" s="14"/>
      <c r="L401" s="20"/>
      <c r="M401" s="14"/>
      <c r="N401" s="17"/>
      <c r="O401" s="17"/>
      <c r="P401" s="17"/>
      <c r="Q401" s="7"/>
    </row>
    <row r="402" spans="3:17" s="2" customFormat="1" ht="15.75" x14ac:dyDescent="0.25">
      <c r="C402" s="1"/>
      <c r="D402" s="1"/>
      <c r="E402" s="1"/>
      <c r="F402" s="1"/>
      <c r="G402" s="15"/>
      <c r="H402" s="1"/>
      <c r="I402" s="20"/>
      <c r="J402" s="20"/>
      <c r="K402" s="14"/>
      <c r="L402" s="20"/>
      <c r="M402" s="14"/>
      <c r="N402" s="17"/>
      <c r="O402" s="17"/>
      <c r="P402" s="17"/>
      <c r="Q402" s="7"/>
    </row>
    <row r="403" spans="3:17" s="2" customFormat="1" ht="15.75" x14ac:dyDescent="0.25">
      <c r="C403" s="1"/>
      <c r="D403" s="1"/>
      <c r="E403" s="1"/>
      <c r="F403" s="1"/>
      <c r="G403" s="15"/>
      <c r="H403" s="1"/>
      <c r="I403" s="20"/>
      <c r="J403" s="20"/>
      <c r="K403" s="14"/>
      <c r="L403" s="20"/>
      <c r="M403" s="14"/>
      <c r="N403" s="17"/>
      <c r="O403" s="17"/>
      <c r="P403" s="17"/>
      <c r="Q403" s="7"/>
    </row>
    <row r="404" spans="3:17" s="2" customFormat="1" ht="15.75" x14ac:dyDescent="0.25">
      <c r="C404" s="1"/>
      <c r="D404" s="1"/>
      <c r="E404" s="1"/>
      <c r="F404" s="1"/>
      <c r="G404" s="15"/>
      <c r="H404" s="1"/>
      <c r="I404" s="20"/>
      <c r="J404" s="20"/>
      <c r="K404" s="14"/>
      <c r="L404" s="20"/>
      <c r="M404" s="14"/>
      <c r="N404" s="17"/>
      <c r="O404" s="17"/>
      <c r="P404" s="17"/>
      <c r="Q404" s="7"/>
    </row>
    <row r="405" spans="3:17" s="2" customFormat="1" ht="15.75" x14ac:dyDescent="0.25">
      <c r="C405" s="1"/>
      <c r="D405" s="1"/>
      <c r="E405" s="1"/>
      <c r="F405" s="1"/>
      <c r="G405" s="15"/>
      <c r="H405" s="1"/>
      <c r="I405" s="20"/>
      <c r="J405" s="20"/>
      <c r="K405" s="14"/>
      <c r="L405" s="20"/>
      <c r="M405" s="14"/>
      <c r="N405" s="17"/>
      <c r="O405" s="17"/>
      <c r="P405" s="17"/>
      <c r="Q405" s="7"/>
    </row>
    <row r="406" spans="3:17" s="2" customFormat="1" ht="15.75" x14ac:dyDescent="0.25">
      <c r="C406" s="1"/>
      <c r="D406" s="1"/>
      <c r="E406" s="1"/>
      <c r="F406" s="1"/>
      <c r="G406" s="15"/>
      <c r="H406" s="1"/>
      <c r="I406" s="20"/>
      <c r="J406" s="20"/>
      <c r="K406" s="14"/>
      <c r="L406" s="20"/>
      <c r="M406" s="14"/>
      <c r="N406" s="17"/>
      <c r="O406" s="17"/>
      <c r="P406" s="17"/>
      <c r="Q406" s="7"/>
    </row>
    <row r="407" spans="3:17" s="2" customFormat="1" ht="15.75" x14ac:dyDescent="0.25">
      <c r="C407" s="1"/>
      <c r="D407" s="1"/>
      <c r="E407" s="1"/>
      <c r="F407" s="1"/>
      <c r="G407" s="15"/>
      <c r="H407" s="1"/>
      <c r="I407" s="20"/>
      <c r="J407" s="20"/>
      <c r="K407" s="14"/>
      <c r="L407" s="20"/>
      <c r="M407" s="14"/>
      <c r="N407" s="17"/>
      <c r="O407" s="17"/>
      <c r="P407" s="17"/>
      <c r="Q407" s="7"/>
    </row>
    <row r="408" spans="3:17" s="2" customFormat="1" ht="15.75" x14ac:dyDescent="0.25">
      <c r="C408" s="1"/>
      <c r="D408" s="1"/>
      <c r="E408" s="1"/>
      <c r="F408" s="1"/>
      <c r="G408" s="15"/>
      <c r="H408" s="1"/>
      <c r="I408" s="20"/>
      <c r="J408" s="20"/>
      <c r="K408" s="14"/>
      <c r="L408" s="20"/>
      <c r="M408" s="14"/>
      <c r="N408" s="17"/>
      <c r="O408" s="17"/>
      <c r="P408" s="17"/>
      <c r="Q408" s="7"/>
    </row>
    <row r="409" spans="3:17" s="2" customFormat="1" ht="15.75" x14ac:dyDescent="0.25">
      <c r="C409" s="1"/>
      <c r="D409" s="1"/>
      <c r="E409" s="1"/>
      <c r="F409" s="1"/>
      <c r="G409" s="15"/>
      <c r="H409" s="1"/>
      <c r="I409" s="20"/>
      <c r="J409" s="20"/>
      <c r="K409" s="14"/>
      <c r="L409" s="20"/>
      <c r="M409" s="14"/>
      <c r="N409" s="17"/>
      <c r="O409" s="17"/>
      <c r="P409" s="17"/>
      <c r="Q409" s="7"/>
    </row>
    <row r="410" spans="3:17" s="2" customFormat="1" ht="15.75" x14ac:dyDescent="0.25">
      <c r="C410" s="1"/>
      <c r="D410" s="1"/>
      <c r="E410" s="1"/>
      <c r="F410" s="1"/>
      <c r="G410" s="15"/>
      <c r="H410" s="1"/>
      <c r="I410" s="20"/>
      <c r="J410" s="20"/>
      <c r="K410" s="14"/>
      <c r="L410" s="20"/>
      <c r="M410" s="14"/>
      <c r="N410" s="17"/>
      <c r="O410" s="17"/>
      <c r="P410" s="17"/>
      <c r="Q410" s="7"/>
    </row>
    <row r="411" spans="3:17" s="2" customFormat="1" ht="15.75" x14ac:dyDescent="0.25">
      <c r="C411" s="1"/>
      <c r="D411" s="1"/>
      <c r="E411" s="1"/>
      <c r="F411" s="1"/>
      <c r="G411" s="15"/>
      <c r="H411" s="1"/>
      <c r="I411" s="20"/>
      <c r="J411" s="20"/>
      <c r="K411" s="14"/>
      <c r="L411" s="20"/>
      <c r="M411" s="14"/>
      <c r="N411" s="17"/>
      <c r="O411" s="17"/>
      <c r="P411" s="17"/>
      <c r="Q411" s="7"/>
    </row>
    <row r="412" spans="3:17" s="2" customFormat="1" ht="15.75" x14ac:dyDescent="0.25">
      <c r="C412" s="1"/>
      <c r="D412" s="1"/>
      <c r="E412" s="1"/>
      <c r="F412" s="1"/>
      <c r="G412" s="15"/>
      <c r="H412" s="1"/>
      <c r="I412" s="20"/>
      <c r="J412" s="20"/>
      <c r="K412" s="14"/>
      <c r="L412" s="20"/>
      <c r="M412" s="14"/>
      <c r="N412" s="17"/>
      <c r="O412" s="17"/>
      <c r="P412" s="17"/>
      <c r="Q412" s="7"/>
    </row>
    <row r="413" spans="3:17" s="2" customFormat="1" ht="15.75" x14ac:dyDescent="0.25">
      <c r="C413" s="1"/>
      <c r="D413" s="1"/>
      <c r="E413" s="1"/>
      <c r="F413" s="1"/>
      <c r="G413" s="15"/>
      <c r="H413" s="1"/>
      <c r="I413" s="20"/>
      <c r="J413" s="20"/>
      <c r="K413" s="14"/>
      <c r="L413" s="20"/>
      <c r="M413" s="14"/>
      <c r="N413" s="17"/>
      <c r="O413" s="17"/>
      <c r="P413" s="17"/>
      <c r="Q413" s="7"/>
    </row>
    <row r="414" spans="3:17" s="2" customFormat="1" ht="15.75" x14ac:dyDescent="0.25">
      <c r="C414" s="1"/>
      <c r="D414" s="1"/>
      <c r="E414" s="1"/>
      <c r="F414" s="1"/>
      <c r="G414" s="15"/>
      <c r="H414" s="1"/>
      <c r="I414" s="20"/>
      <c r="J414" s="20"/>
      <c r="K414" s="14"/>
      <c r="L414" s="20"/>
      <c r="M414" s="14"/>
      <c r="N414" s="17"/>
      <c r="O414" s="17"/>
      <c r="P414" s="17"/>
      <c r="Q414" s="7"/>
    </row>
    <row r="415" spans="3:17" s="2" customFormat="1" ht="15.75" x14ac:dyDescent="0.25">
      <c r="C415" s="1"/>
      <c r="D415" s="1"/>
      <c r="E415" s="1"/>
      <c r="F415" s="1"/>
      <c r="G415" s="15"/>
      <c r="H415" s="1"/>
      <c r="I415" s="20"/>
      <c r="J415" s="20"/>
      <c r="K415" s="14"/>
      <c r="L415" s="20"/>
      <c r="M415" s="14"/>
      <c r="N415" s="17"/>
      <c r="O415" s="17"/>
      <c r="P415" s="17"/>
      <c r="Q415" s="7"/>
    </row>
    <row r="416" spans="3:17" s="2" customFormat="1" ht="15.75" x14ac:dyDescent="0.25">
      <c r="C416" s="1"/>
      <c r="D416" s="1"/>
      <c r="E416" s="1"/>
      <c r="F416" s="1"/>
      <c r="G416" s="15"/>
      <c r="H416" s="1"/>
      <c r="I416" s="20"/>
      <c r="J416" s="20"/>
      <c r="K416" s="14"/>
      <c r="L416" s="20"/>
      <c r="M416" s="14"/>
      <c r="N416" s="17"/>
      <c r="O416" s="17"/>
      <c r="P416" s="17"/>
      <c r="Q416" s="7"/>
    </row>
    <row r="417" spans="3:17" s="2" customFormat="1" ht="15.75" x14ac:dyDescent="0.25">
      <c r="C417" s="1"/>
      <c r="D417" s="1"/>
      <c r="E417" s="1"/>
      <c r="F417" s="1"/>
      <c r="G417" s="15"/>
      <c r="H417" s="1"/>
      <c r="I417" s="20"/>
      <c r="J417" s="20"/>
      <c r="K417" s="14"/>
      <c r="L417" s="20"/>
      <c r="M417" s="14"/>
      <c r="N417" s="17"/>
      <c r="O417" s="17"/>
      <c r="P417" s="17"/>
      <c r="Q417" s="7"/>
    </row>
    <row r="418" spans="3:17" s="2" customFormat="1" ht="15.75" x14ac:dyDescent="0.25">
      <c r="C418" s="1"/>
      <c r="D418" s="1"/>
      <c r="E418" s="1"/>
      <c r="F418" s="1"/>
      <c r="G418" s="15"/>
      <c r="H418" s="1"/>
      <c r="I418" s="20"/>
      <c r="J418" s="20"/>
      <c r="K418" s="14"/>
      <c r="L418" s="20"/>
      <c r="M418" s="14"/>
      <c r="N418" s="17"/>
      <c r="O418" s="17"/>
      <c r="P418" s="17"/>
      <c r="Q418" s="7"/>
    </row>
    <row r="419" spans="3:17" s="2" customFormat="1" ht="15.75" x14ac:dyDescent="0.25">
      <c r="C419" s="1"/>
      <c r="D419" s="1"/>
      <c r="E419" s="1"/>
      <c r="F419" s="1"/>
      <c r="G419" s="15"/>
      <c r="H419" s="1"/>
      <c r="I419" s="20"/>
      <c r="J419" s="20"/>
      <c r="K419" s="14"/>
      <c r="L419" s="20"/>
      <c r="M419" s="14"/>
      <c r="N419" s="17"/>
      <c r="O419" s="17"/>
      <c r="P419" s="17"/>
      <c r="Q419" s="7"/>
    </row>
    <row r="420" spans="3:17" s="2" customFormat="1" ht="15.75" x14ac:dyDescent="0.25">
      <c r="C420" s="1"/>
      <c r="D420" s="1"/>
      <c r="E420" s="1"/>
      <c r="F420" s="1"/>
      <c r="G420" s="15"/>
      <c r="H420" s="1"/>
      <c r="I420" s="20"/>
      <c r="J420" s="20"/>
      <c r="K420" s="14"/>
      <c r="L420" s="20"/>
      <c r="M420" s="14"/>
      <c r="N420" s="17"/>
      <c r="O420" s="17"/>
      <c r="P420" s="17"/>
      <c r="Q420" s="7"/>
    </row>
    <row r="421" spans="3:17" s="2" customFormat="1" ht="15.75" x14ac:dyDescent="0.25">
      <c r="C421" s="1"/>
      <c r="D421" s="1"/>
      <c r="E421" s="1"/>
      <c r="F421" s="1"/>
      <c r="G421" s="15"/>
      <c r="H421" s="1"/>
      <c r="I421" s="20"/>
      <c r="J421" s="20"/>
      <c r="K421" s="14"/>
      <c r="L421" s="20"/>
      <c r="M421" s="14"/>
      <c r="N421" s="17"/>
      <c r="O421" s="17"/>
      <c r="P421" s="17"/>
      <c r="Q421" s="7"/>
    </row>
    <row r="422" spans="3:17" s="2" customFormat="1" ht="15.75" x14ac:dyDescent="0.25">
      <c r="C422" s="1"/>
      <c r="D422" s="1"/>
      <c r="E422" s="1"/>
      <c r="F422" s="1"/>
      <c r="G422" s="15"/>
      <c r="H422" s="1"/>
      <c r="I422" s="20"/>
      <c r="J422" s="20"/>
      <c r="K422" s="14"/>
      <c r="L422" s="20"/>
      <c r="M422" s="14"/>
      <c r="N422" s="17"/>
      <c r="O422" s="17"/>
      <c r="P422" s="17"/>
      <c r="Q422" s="7"/>
    </row>
    <row r="423" spans="3:17" s="2" customFormat="1" ht="15.75" x14ac:dyDescent="0.25">
      <c r="C423" s="1"/>
      <c r="D423" s="1"/>
      <c r="E423" s="1"/>
      <c r="F423" s="1"/>
      <c r="G423" s="15"/>
      <c r="H423" s="1"/>
      <c r="I423" s="20"/>
      <c r="J423" s="20"/>
      <c r="K423" s="14"/>
      <c r="L423" s="20"/>
      <c r="M423" s="14"/>
      <c r="N423" s="17"/>
      <c r="O423" s="17"/>
      <c r="P423" s="17"/>
      <c r="Q423" s="7"/>
    </row>
    <row r="424" spans="3:17" s="2" customFormat="1" ht="15.75" x14ac:dyDescent="0.25">
      <c r="C424" s="1"/>
      <c r="D424" s="1"/>
      <c r="E424" s="1"/>
      <c r="F424" s="1"/>
      <c r="G424" s="15"/>
      <c r="H424" s="1"/>
      <c r="I424" s="20"/>
      <c r="J424" s="20"/>
      <c r="K424" s="14"/>
      <c r="L424" s="20"/>
      <c r="M424" s="14"/>
      <c r="N424" s="17"/>
      <c r="O424" s="17"/>
      <c r="P424" s="17"/>
      <c r="Q424" s="7"/>
    </row>
    <row r="425" spans="3:17" s="2" customFormat="1" ht="15.75" x14ac:dyDescent="0.25">
      <c r="C425" s="1"/>
      <c r="D425" s="1"/>
      <c r="E425" s="1"/>
      <c r="F425" s="1"/>
      <c r="G425" s="15"/>
      <c r="H425" s="1"/>
      <c r="I425" s="20"/>
      <c r="J425" s="20"/>
      <c r="K425" s="14"/>
      <c r="L425" s="20"/>
      <c r="M425" s="14"/>
      <c r="N425" s="17"/>
      <c r="O425" s="17"/>
      <c r="P425" s="17"/>
      <c r="Q425" s="7"/>
    </row>
    <row r="426" spans="3:17" s="2" customFormat="1" ht="15.75" x14ac:dyDescent="0.25">
      <c r="C426" s="1"/>
      <c r="D426" s="1"/>
      <c r="E426" s="1"/>
      <c r="F426" s="1"/>
      <c r="G426" s="15"/>
      <c r="H426" s="1"/>
      <c r="I426" s="20"/>
      <c r="J426" s="20"/>
      <c r="K426" s="14"/>
      <c r="L426" s="20"/>
      <c r="M426" s="14"/>
      <c r="N426" s="17"/>
      <c r="O426" s="17"/>
      <c r="P426" s="17"/>
      <c r="Q426" s="7"/>
    </row>
    <row r="427" spans="3:17" s="2" customFormat="1" ht="15.75" x14ac:dyDescent="0.25">
      <c r="C427" s="1"/>
      <c r="D427" s="1"/>
      <c r="E427" s="1"/>
      <c r="F427" s="1"/>
      <c r="G427" s="15"/>
      <c r="H427" s="1"/>
      <c r="I427" s="20"/>
      <c r="J427" s="20"/>
      <c r="K427" s="14"/>
      <c r="L427" s="20"/>
      <c r="M427" s="14"/>
      <c r="N427" s="17"/>
      <c r="O427" s="17"/>
      <c r="P427" s="17"/>
      <c r="Q427" s="7"/>
    </row>
    <row r="428" spans="3:17" s="2" customFormat="1" ht="15.75" x14ac:dyDescent="0.25">
      <c r="C428" s="1"/>
      <c r="D428" s="1"/>
      <c r="E428" s="1"/>
      <c r="F428" s="1"/>
      <c r="G428" s="15"/>
      <c r="H428" s="1"/>
      <c r="I428" s="20"/>
      <c r="J428" s="20"/>
      <c r="K428" s="14"/>
      <c r="L428" s="20"/>
      <c r="M428" s="14"/>
      <c r="N428" s="17"/>
      <c r="O428" s="17"/>
      <c r="P428" s="17"/>
      <c r="Q428" s="7"/>
    </row>
    <row r="429" spans="3:17" s="2" customFormat="1" ht="15.75" x14ac:dyDescent="0.25">
      <c r="C429" s="1"/>
      <c r="D429" s="1"/>
      <c r="E429" s="1"/>
      <c r="F429" s="1"/>
      <c r="G429" s="15"/>
      <c r="H429" s="1"/>
      <c r="I429" s="20"/>
      <c r="J429" s="20"/>
      <c r="K429" s="14"/>
      <c r="L429" s="20"/>
      <c r="M429" s="14"/>
      <c r="N429" s="17"/>
      <c r="O429" s="17"/>
      <c r="P429" s="17"/>
      <c r="Q429" s="7"/>
    </row>
    <row r="430" spans="3:17" s="2" customFormat="1" ht="15.75" x14ac:dyDescent="0.25">
      <c r="C430" s="1"/>
      <c r="D430" s="1"/>
      <c r="E430" s="1"/>
      <c r="F430" s="1"/>
      <c r="G430" s="15"/>
      <c r="H430" s="1"/>
      <c r="I430" s="20"/>
      <c r="J430" s="20"/>
      <c r="K430" s="14"/>
      <c r="L430" s="20"/>
      <c r="M430" s="14"/>
      <c r="N430" s="17"/>
      <c r="O430" s="17"/>
      <c r="P430" s="17"/>
      <c r="Q430" s="7"/>
    </row>
    <row r="431" spans="3:17" s="2" customFormat="1" ht="15.75" x14ac:dyDescent="0.25">
      <c r="C431" s="1"/>
      <c r="D431" s="1"/>
      <c r="E431" s="1"/>
      <c r="F431" s="1"/>
      <c r="G431" s="15"/>
      <c r="H431" s="1"/>
      <c r="I431" s="20"/>
      <c r="J431" s="20"/>
      <c r="K431" s="14"/>
      <c r="L431" s="20"/>
      <c r="M431" s="14"/>
      <c r="N431" s="17"/>
      <c r="O431" s="17"/>
      <c r="P431" s="17"/>
      <c r="Q431" s="7"/>
    </row>
    <row r="432" spans="3:17" s="2" customFormat="1" ht="15.75" x14ac:dyDescent="0.25">
      <c r="C432" s="1"/>
      <c r="D432" s="1"/>
      <c r="E432" s="1"/>
      <c r="F432" s="1"/>
      <c r="G432" s="15"/>
      <c r="H432" s="1"/>
      <c r="I432" s="20"/>
      <c r="J432" s="20"/>
      <c r="K432" s="14"/>
      <c r="L432" s="20"/>
      <c r="M432" s="14"/>
      <c r="N432" s="17"/>
      <c r="O432" s="17"/>
      <c r="P432" s="17"/>
      <c r="Q432" s="7"/>
    </row>
    <row r="433" spans="3:17" s="2" customFormat="1" ht="15.75" x14ac:dyDescent="0.25">
      <c r="C433" s="1"/>
      <c r="D433" s="1"/>
      <c r="E433" s="1"/>
      <c r="F433" s="1"/>
      <c r="G433" s="15"/>
      <c r="H433" s="1"/>
      <c r="I433" s="20"/>
      <c r="J433" s="20"/>
      <c r="K433" s="14"/>
      <c r="L433" s="20"/>
      <c r="M433" s="14"/>
      <c r="N433" s="17"/>
      <c r="O433" s="17"/>
      <c r="P433" s="17"/>
      <c r="Q433" s="7"/>
    </row>
    <row r="434" spans="3:17" s="2" customFormat="1" ht="15.75" x14ac:dyDescent="0.25">
      <c r="C434" s="1"/>
      <c r="D434" s="1"/>
      <c r="E434" s="1"/>
      <c r="F434" s="1"/>
      <c r="G434" s="15"/>
      <c r="H434" s="1"/>
      <c r="I434" s="20"/>
      <c r="J434" s="20"/>
      <c r="K434" s="14"/>
      <c r="L434" s="20"/>
      <c r="M434" s="14"/>
      <c r="N434" s="17"/>
      <c r="O434" s="17"/>
      <c r="P434" s="17"/>
      <c r="Q434" s="7"/>
    </row>
    <row r="435" spans="3:17" s="2" customFormat="1" ht="15.75" x14ac:dyDescent="0.25">
      <c r="C435" s="1"/>
      <c r="D435" s="1"/>
      <c r="E435" s="1"/>
      <c r="F435" s="1"/>
      <c r="G435" s="15"/>
      <c r="H435" s="1"/>
      <c r="I435" s="20"/>
      <c r="J435" s="20"/>
      <c r="K435" s="14"/>
      <c r="L435" s="20"/>
      <c r="M435" s="14"/>
      <c r="N435" s="17"/>
      <c r="O435" s="17"/>
      <c r="P435" s="17"/>
      <c r="Q435" s="7"/>
    </row>
    <row r="436" spans="3:17" s="2" customFormat="1" ht="15.75" x14ac:dyDescent="0.25">
      <c r="C436" s="1"/>
      <c r="D436" s="1"/>
      <c r="E436" s="1"/>
      <c r="F436" s="1"/>
      <c r="G436" s="15"/>
      <c r="H436" s="1"/>
      <c r="I436" s="20"/>
      <c r="J436" s="20"/>
      <c r="K436" s="14"/>
      <c r="L436" s="20"/>
      <c r="M436" s="14"/>
      <c r="N436" s="17"/>
      <c r="O436" s="17"/>
      <c r="P436" s="17"/>
      <c r="Q436" s="7"/>
    </row>
    <row r="437" spans="3:17" s="2" customFormat="1" ht="15.75" x14ac:dyDescent="0.25">
      <c r="C437" s="1"/>
      <c r="D437" s="1"/>
      <c r="E437" s="1"/>
      <c r="F437" s="1"/>
      <c r="G437" s="15"/>
      <c r="H437" s="1"/>
      <c r="I437" s="20"/>
      <c r="J437" s="20"/>
      <c r="K437" s="14"/>
      <c r="L437" s="20"/>
      <c r="M437" s="14"/>
      <c r="N437" s="17"/>
      <c r="O437" s="17"/>
      <c r="P437" s="17"/>
      <c r="Q437" s="7"/>
    </row>
    <row r="438" spans="3:17" s="2" customFormat="1" ht="15.75" x14ac:dyDescent="0.25">
      <c r="C438" s="1"/>
      <c r="D438" s="1"/>
      <c r="E438" s="1"/>
      <c r="F438" s="1"/>
      <c r="G438" s="15"/>
      <c r="H438" s="1"/>
      <c r="I438" s="20"/>
      <c r="J438" s="20"/>
      <c r="K438" s="14"/>
      <c r="L438" s="20"/>
      <c r="M438" s="14"/>
      <c r="N438" s="17"/>
      <c r="O438" s="17"/>
      <c r="P438" s="17"/>
      <c r="Q438" s="7"/>
    </row>
    <row r="439" spans="3:17" s="2" customFormat="1" ht="15.75" x14ac:dyDescent="0.25">
      <c r="C439" s="1"/>
      <c r="D439" s="1"/>
      <c r="E439" s="1"/>
      <c r="F439" s="1"/>
      <c r="G439" s="15"/>
      <c r="H439" s="1"/>
      <c r="I439" s="20"/>
      <c r="J439" s="20"/>
      <c r="K439" s="14"/>
      <c r="L439" s="20"/>
      <c r="M439" s="14"/>
      <c r="N439" s="17"/>
      <c r="O439" s="17"/>
      <c r="P439" s="17"/>
      <c r="Q439" s="7"/>
    </row>
    <row r="440" spans="3:17" s="2" customFormat="1" ht="15.75" x14ac:dyDescent="0.25">
      <c r="C440" s="1"/>
      <c r="D440" s="1"/>
      <c r="E440" s="1"/>
      <c r="F440" s="1"/>
      <c r="G440" s="15"/>
      <c r="H440" s="1"/>
      <c r="I440" s="20"/>
      <c r="J440" s="20"/>
      <c r="K440" s="14"/>
      <c r="L440" s="20"/>
      <c r="M440" s="14"/>
      <c r="N440" s="17"/>
      <c r="O440" s="17"/>
      <c r="P440" s="17"/>
      <c r="Q440" s="7"/>
    </row>
    <row r="441" spans="3:17" s="2" customFormat="1" ht="15.75" x14ac:dyDescent="0.25">
      <c r="C441" s="1"/>
      <c r="D441" s="1"/>
      <c r="E441" s="1"/>
      <c r="F441" s="1"/>
      <c r="G441" s="15"/>
      <c r="H441" s="1"/>
      <c r="I441" s="20"/>
      <c r="J441" s="20"/>
      <c r="K441" s="14"/>
      <c r="L441" s="20"/>
      <c r="M441" s="14"/>
      <c r="N441" s="17"/>
      <c r="O441" s="17"/>
      <c r="P441" s="17"/>
      <c r="Q441" s="7"/>
    </row>
    <row r="442" spans="3:17" s="2" customFormat="1" ht="15.75" x14ac:dyDescent="0.25">
      <c r="C442" s="1"/>
      <c r="D442" s="1"/>
      <c r="E442" s="1"/>
      <c r="F442" s="1"/>
      <c r="G442" s="15"/>
      <c r="H442" s="1"/>
      <c r="I442" s="20"/>
      <c r="J442" s="20"/>
      <c r="K442" s="14"/>
      <c r="L442" s="20"/>
      <c r="M442" s="14"/>
      <c r="N442" s="17"/>
      <c r="O442" s="17"/>
      <c r="P442" s="17"/>
      <c r="Q442" s="7"/>
    </row>
    <row r="443" spans="3:17" s="2" customFormat="1" ht="15.75" x14ac:dyDescent="0.25">
      <c r="C443" s="1"/>
      <c r="D443" s="1"/>
      <c r="E443" s="1"/>
      <c r="F443" s="1"/>
      <c r="G443" s="15"/>
      <c r="H443" s="1"/>
      <c r="I443" s="20"/>
      <c r="J443" s="20"/>
      <c r="K443" s="14"/>
      <c r="L443" s="20"/>
      <c r="M443" s="14"/>
      <c r="N443" s="17"/>
      <c r="O443" s="17"/>
      <c r="P443" s="17"/>
      <c r="Q443" s="7"/>
    </row>
    <row r="444" spans="3:17" s="2" customFormat="1" ht="15.75" x14ac:dyDescent="0.25">
      <c r="C444" s="1"/>
      <c r="D444" s="1"/>
      <c r="E444" s="1"/>
      <c r="F444" s="1"/>
      <c r="G444" s="15"/>
      <c r="H444" s="1"/>
      <c r="I444" s="20"/>
      <c r="J444" s="20"/>
      <c r="K444" s="14"/>
      <c r="L444" s="20"/>
      <c r="M444" s="14"/>
      <c r="N444" s="17"/>
      <c r="O444" s="17"/>
      <c r="P444" s="17"/>
      <c r="Q444" s="7"/>
    </row>
    <row r="445" spans="3:17" s="2" customFormat="1" ht="15.75" x14ac:dyDescent="0.25">
      <c r="C445" s="1"/>
      <c r="D445" s="1"/>
      <c r="E445" s="1"/>
      <c r="F445" s="1"/>
      <c r="G445" s="15"/>
      <c r="H445" s="1"/>
      <c r="I445" s="20"/>
      <c r="J445" s="20"/>
      <c r="K445" s="14"/>
      <c r="L445" s="20"/>
      <c r="M445" s="14"/>
      <c r="N445" s="17"/>
      <c r="O445" s="17"/>
      <c r="P445" s="17"/>
      <c r="Q445" s="7"/>
    </row>
    <row r="446" spans="3:17" s="2" customFormat="1" ht="15.75" x14ac:dyDescent="0.25">
      <c r="C446" s="1"/>
      <c r="D446" s="1"/>
      <c r="E446" s="1"/>
      <c r="F446" s="1"/>
      <c r="G446" s="15"/>
      <c r="H446" s="1"/>
      <c r="I446" s="20"/>
      <c r="J446" s="20"/>
      <c r="K446" s="14"/>
      <c r="L446" s="20"/>
      <c r="M446" s="14"/>
      <c r="N446" s="17"/>
      <c r="O446" s="17"/>
      <c r="P446" s="17"/>
      <c r="Q446" s="7"/>
    </row>
    <row r="447" spans="3:17" s="2" customFormat="1" ht="15.75" x14ac:dyDescent="0.25">
      <c r="C447" s="1"/>
      <c r="D447" s="1"/>
      <c r="E447" s="1"/>
      <c r="F447" s="1"/>
      <c r="G447" s="15"/>
      <c r="H447" s="1"/>
      <c r="I447" s="20"/>
      <c r="J447" s="20"/>
      <c r="K447" s="14"/>
      <c r="L447" s="20"/>
      <c r="M447" s="14"/>
      <c r="N447" s="17"/>
      <c r="O447" s="17"/>
      <c r="P447" s="17"/>
      <c r="Q447" s="7"/>
    </row>
    <row r="448" spans="3:17" s="2" customFormat="1" ht="15.75" x14ac:dyDescent="0.25">
      <c r="C448" s="1"/>
      <c r="D448" s="1"/>
      <c r="E448" s="1"/>
      <c r="F448" s="1"/>
      <c r="G448" s="15"/>
      <c r="H448" s="1"/>
      <c r="I448" s="20"/>
      <c r="J448" s="20"/>
      <c r="K448" s="14"/>
      <c r="L448" s="20"/>
      <c r="M448" s="14"/>
      <c r="N448" s="17"/>
      <c r="O448" s="17"/>
      <c r="P448" s="17"/>
      <c r="Q448" s="7"/>
    </row>
    <row r="449" spans="3:17" s="2" customFormat="1" ht="15.75" x14ac:dyDescent="0.25">
      <c r="C449" s="1"/>
      <c r="D449" s="1"/>
      <c r="E449" s="1"/>
      <c r="F449" s="1"/>
      <c r="G449" s="15"/>
      <c r="H449" s="1"/>
      <c r="I449" s="20"/>
      <c r="J449" s="20"/>
      <c r="K449" s="14"/>
      <c r="L449" s="20"/>
      <c r="M449" s="14"/>
      <c r="N449" s="17"/>
      <c r="O449" s="17"/>
      <c r="P449" s="17"/>
      <c r="Q449" s="7"/>
    </row>
    <row r="450" spans="3:17" s="2" customFormat="1" ht="15.75" x14ac:dyDescent="0.25">
      <c r="C450" s="1"/>
      <c r="D450" s="1"/>
      <c r="E450" s="1"/>
      <c r="F450" s="1"/>
      <c r="G450" s="15"/>
      <c r="H450" s="1"/>
      <c r="I450" s="20"/>
      <c r="J450" s="20"/>
      <c r="K450" s="14"/>
      <c r="L450" s="20"/>
      <c r="M450" s="14"/>
      <c r="N450" s="17"/>
      <c r="O450" s="17"/>
      <c r="P450" s="17"/>
      <c r="Q450" s="7"/>
    </row>
    <row r="451" spans="3:17" s="2" customFormat="1" ht="15.75" x14ac:dyDescent="0.25">
      <c r="C451" s="1"/>
      <c r="D451" s="1"/>
      <c r="E451" s="1"/>
      <c r="F451" s="1"/>
      <c r="G451" s="15"/>
      <c r="H451" s="1"/>
      <c r="I451" s="20"/>
      <c r="J451" s="20"/>
      <c r="K451" s="14"/>
      <c r="L451" s="20"/>
      <c r="M451" s="14"/>
      <c r="N451" s="17"/>
      <c r="O451" s="17"/>
      <c r="P451" s="17"/>
      <c r="Q451" s="7"/>
    </row>
    <row r="452" spans="3:17" s="2" customFormat="1" ht="15.75" x14ac:dyDescent="0.25">
      <c r="C452" s="1"/>
      <c r="D452" s="1"/>
      <c r="E452" s="1"/>
      <c r="F452" s="1"/>
      <c r="G452" s="15"/>
      <c r="H452" s="1"/>
      <c r="I452" s="20"/>
      <c r="J452" s="20"/>
      <c r="K452" s="14"/>
      <c r="L452" s="20"/>
      <c r="M452" s="14"/>
      <c r="N452" s="17"/>
      <c r="O452" s="17"/>
      <c r="P452" s="17"/>
      <c r="Q452" s="7"/>
    </row>
    <row r="453" spans="3:17" s="2" customFormat="1" ht="15.75" x14ac:dyDescent="0.25">
      <c r="C453" s="1"/>
      <c r="D453" s="1"/>
      <c r="E453" s="1"/>
      <c r="F453" s="1"/>
      <c r="G453" s="15"/>
      <c r="H453" s="1"/>
      <c r="I453" s="20"/>
      <c r="J453" s="20"/>
      <c r="K453" s="14"/>
      <c r="L453" s="20"/>
      <c r="M453" s="14"/>
      <c r="N453" s="17"/>
      <c r="O453" s="17"/>
      <c r="P453" s="17"/>
      <c r="Q453" s="7"/>
    </row>
    <row r="454" spans="3:17" s="2" customFormat="1" ht="15.75" x14ac:dyDescent="0.25">
      <c r="C454" s="1"/>
      <c r="D454" s="1"/>
      <c r="E454" s="1"/>
      <c r="F454" s="1"/>
      <c r="G454" s="15"/>
      <c r="H454" s="1"/>
      <c r="I454" s="20"/>
      <c r="J454" s="20"/>
      <c r="K454" s="14"/>
      <c r="L454" s="20"/>
      <c r="M454" s="14"/>
      <c r="N454" s="17"/>
      <c r="O454" s="17"/>
      <c r="P454" s="17"/>
      <c r="Q454" s="7"/>
    </row>
    <row r="455" spans="3:17" s="2" customFormat="1" ht="15.75" x14ac:dyDescent="0.25">
      <c r="C455" s="1"/>
      <c r="D455" s="1"/>
      <c r="E455" s="1"/>
      <c r="F455" s="1"/>
      <c r="G455" s="15"/>
      <c r="H455" s="1"/>
      <c r="I455" s="20"/>
      <c r="J455" s="20"/>
      <c r="K455" s="14"/>
      <c r="L455" s="20"/>
      <c r="M455" s="14"/>
      <c r="N455" s="17"/>
      <c r="O455" s="17"/>
      <c r="P455" s="17"/>
      <c r="Q455" s="7"/>
    </row>
    <row r="456" spans="3:17" s="2" customFormat="1" ht="15.75" x14ac:dyDescent="0.25">
      <c r="C456" s="1"/>
      <c r="D456" s="1"/>
      <c r="E456" s="1"/>
      <c r="F456" s="1"/>
      <c r="G456" s="15"/>
      <c r="H456" s="1"/>
      <c r="I456" s="20"/>
      <c r="J456" s="20"/>
      <c r="K456" s="14"/>
      <c r="L456" s="20"/>
      <c r="M456" s="14"/>
      <c r="N456" s="17"/>
      <c r="O456" s="17"/>
      <c r="P456" s="17"/>
      <c r="Q456" s="7"/>
    </row>
    <row r="457" spans="3:17" s="2" customFormat="1" ht="15.75" x14ac:dyDescent="0.25">
      <c r="C457" s="1"/>
      <c r="D457" s="1"/>
      <c r="E457" s="1"/>
      <c r="F457" s="1"/>
      <c r="G457" s="15"/>
      <c r="H457" s="1"/>
      <c r="I457" s="20"/>
      <c r="J457" s="20"/>
      <c r="K457" s="14"/>
      <c r="L457" s="20"/>
      <c r="M457" s="14"/>
      <c r="N457" s="17"/>
      <c r="O457" s="17"/>
      <c r="P457" s="17"/>
      <c r="Q457" s="7"/>
    </row>
    <row r="458" spans="3:17" s="2" customFormat="1" ht="15.75" x14ac:dyDescent="0.25">
      <c r="C458" s="1"/>
      <c r="D458" s="1"/>
      <c r="E458" s="1"/>
      <c r="F458" s="1"/>
      <c r="G458" s="15"/>
      <c r="H458" s="1"/>
      <c r="I458" s="20"/>
      <c r="J458" s="20"/>
      <c r="K458" s="14"/>
      <c r="L458" s="20"/>
      <c r="M458" s="14"/>
      <c r="N458" s="17"/>
      <c r="O458" s="17"/>
      <c r="P458" s="17"/>
      <c r="Q458" s="7"/>
    </row>
    <row r="459" spans="3:17" s="2" customFormat="1" ht="15.75" x14ac:dyDescent="0.25">
      <c r="C459" s="1"/>
      <c r="D459" s="1"/>
      <c r="E459" s="1"/>
      <c r="F459" s="1"/>
      <c r="G459" s="15"/>
      <c r="H459" s="1"/>
      <c r="I459" s="20"/>
      <c r="J459" s="20"/>
      <c r="K459" s="14"/>
      <c r="L459" s="20"/>
      <c r="M459" s="14"/>
      <c r="N459" s="17"/>
      <c r="O459" s="17"/>
      <c r="P459" s="17"/>
      <c r="Q459" s="7"/>
    </row>
    <row r="460" spans="3:17" s="2" customFormat="1" ht="15.75" x14ac:dyDescent="0.25">
      <c r="C460" s="1"/>
      <c r="D460" s="1"/>
      <c r="E460" s="1"/>
      <c r="F460" s="1"/>
      <c r="G460" s="15"/>
      <c r="H460" s="1"/>
      <c r="I460" s="20"/>
      <c r="J460" s="20"/>
      <c r="K460" s="14"/>
      <c r="L460" s="20"/>
      <c r="M460" s="14"/>
      <c r="N460" s="17"/>
      <c r="O460" s="17"/>
      <c r="P460" s="17"/>
      <c r="Q460" s="7"/>
    </row>
    <row r="461" spans="3:17" s="2" customFormat="1" ht="15.75" x14ac:dyDescent="0.25">
      <c r="C461" s="1"/>
      <c r="D461" s="1"/>
      <c r="E461" s="1"/>
      <c r="F461" s="1"/>
      <c r="G461" s="15"/>
      <c r="H461" s="1"/>
      <c r="I461" s="20"/>
      <c r="J461" s="20"/>
      <c r="K461" s="14"/>
      <c r="L461" s="20"/>
      <c r="M461" s="14"/>
      <c r="N461" s="17"/>
      <c r="O461" s="17"/>
      <c r="P461" s="17"/>
      <c r="Q461" s="7"/>
    </row>
    <row r="462" spans="3:17" s="2" customFormat="1" ht="15.75" x14ac:dyDescent="0.25">
      <c r="C462" s="1"/>
      <c r="D462" s="1"/>
      <c r="E462" s="1"/>
      <c r="F462" s="1"/>
      <c r="G462" s="15"/>
      <c r="H462" s="1"/>
      <c r="I462" s="20"/>
      <c r="J462" s="20"/>
      <c r="K462" s="14"/>
      <c r="L462" s="20"/>
      <c r="M462" s="14"/>
      <c r="N462" s="17"/>
      <c r="O462" s="17"/>
      <c r="P462" s="17"/>
      <c r="Q462" s="7"/>
    </row>
    <row r="463" spans="3:17" s="2" customFormat="1" ht="15.75" x14ac:dyDescent="0.25">
      <c r="C463" s="1"/>
      <c r="D463" s="1"/>
      <c r="E463" s="1"/>
      <c r="F463" s="1"/>
      <c r="G463" s="15"/>
      <c r="H463" s="1"/>
      <c r="I463" s="20"/>
      <c r="J463" s="20"/>
      <c r="K463" s="14"/>
      <c r="L463" s="20"/>
      <c r="M463" s="14"/>
      <c r="N463" s="17"/>
      <c r="O463" s="17"/>
      <c r="P463" s="17"/>
      <c r="Q463" s="7"/>
    </row>
    <row r="464" spans="3:17" s="2" customFormat="1" ht="15.75" x14ac:dyDescent="0.25">
      <c r="C464" s="1"/>
      <c r="D464" s="1"/>
      <c r="E464" s="1"/>
      <c r="F464" s="1"/>
      <c r="G464" s="15"/>
      <c r="H464" s="1"/>
      <c r="I464" s="20"/>
      <c r="J464" s="20"/>
      <c r="K464" s="14"/>
      <c r="L464" s="20"/>
      <c r="M464" s="14"/>
      <c r="N464" s="17"/>
      <c r="O464" s="17"/>
      <c r="P464" s="17"/>
      <c r="Q464" s="7"/>
    </row>
    <row r="465" spans="3:17" s="2" customFormat="1" ht="15.75" x14ac:dyDescent="0.25">
      <c r="C465" s="1"/>
      <c r="D465" s="1"/>
      <c r="E465" s="1"/>
      <c r="F465" s="1"/>
      <c r="G465" s="15"/>
      <c r="H465" s="1"/>
      <c r="I465" s="20"/>
      <c r="J465" s="20"/>
      <c r="K465" s="14"/>
      <c r="L465" s="20"/>
      <c r="M465" s="14"/>
      <c r="N465" s="17"/>
      <c r="O465" s="17"/>
      <c r="P465" s="17"/>
      <c r="Q465" s="7"/>
    </row>
    <row r="466" spans="3:17" s="2" customFormat="1" ht="15.75" x14ac:dyDescent="0.25">
      <c r="C466" s="1"/>
      <c r="D466" s="1"/>
      <c r="E466" s="1"/>
      <c r="F466" s="1"/>
      <c r="G466" s="15"/>
      <c r="H466" s="1"/>
      <c r="I466" s="20"/>
      <c r="J466" s="20"/>
      <c r="K466" s="14"/>
      <c r="L466" s="20"/>
      <c r="M466" s="14"/>
      <c r="N466" s="17"/>
      <c r="O466" s="17"/>
      <c r="P466" s="17"/>
      <c r="Q466" s="7"/>
    </row>
    <row r="467" spans="3:17" s="2" customFormat="1" ht="15.75" x14ac:dyDescent="0.25">
      <c r="C467" s="1"/>
      <c r="D467" s="1"/>
      <c r="E467" s="1"/>
      <c r="F467" s="1"/>
      <c r="G467" s="15"/>
      <c r="H467" s="1"/>
      <c r="I467" s="20"/>
      <c r="J467" s="20"/>
      <c r="K467" s="14"/>
      <c r="L467" s="20"/>
      <c r="M467" s="14"/>
      <c r="N467" s="17"/>
      <c r="O467" s="17"/>
      <c r="P467" s="17"/>
      <c r="Q467" s="7"/>
    </row>
    <row r="468" spans="3:17" s="2" customFormat="1" ht="15.75" x14ac:dyDescent="0.25">
      <c r="C468" s="1"/>
      <c r="D468" s="1"/>
      <c r="E468" s="1"/>
      <c r="F468" s="1"/>
      <c r="G468" s="15"/>
      <c r="H468" s="1"/>
      <c r="I468" s="20"/>
      <c r="J468" s="20"/>
      <c r="K468" s="14"/>
      <c r="L468" s="20"/>
      <c r="M468" s="14"/>
      <c r="N468" s="17"/>
      <c r="O468" s="17"/>
      <c r="P468" s="17"/>
      <c r="Q468" s="7"/>
    </row>
    <row r="469" spans="3:17" s="2" customFormat="1" ht="15.75" x14ac:dyDescent="0.25">
      <c r="C469" s="1"/>
      <c r="D469" s="1"/>
      <c r="E469" s="1"/>
      <c r="F469" s="1"/>
      <c r="G469" s="15"/>
      <c r="H469" s="1"/>
      <c r="I469" s="20"/>
      <c r="J469" s="20"/>
      <c r="K469" s="14"/>
      <c r="L469" s="20"/>
      <c r="M469" s="14"/>
      <c r="N469" s="17"/>
      <c r="O469" s="17"/>
      <c r="P469" s="17"/>
      <c r="Q469" s="7"/>
    </row>
    <row r="470" spans="3:17" s="2" customFormat="1" ht="15.75" x14ac:dyDescent="0.25">
      <c r="C470" s="1"/>
      <c r="D470" s="1"/>
      <c r="E470" s="1"/>
      <c r="F470" s="1"/>
      <c r="G470" s="15"/>
      <c r="H470" s="1"/>
      <c r="I470" s="20"/>
      <c r="J470" s="20"/>
      <c r="K470" s="14"/>
      <c r="L470" s="20"/>
      <c r="M470" s="14"/>
      <c r="N470" s="17"/>
      <c r="O470" s="17"/>
      <c r="P470" s="17"/>
      <c r="Q470" s="7"/>
    </row>
    <row r="471" spans="3:17" s="2" customFormat="1" ht="15.75" x14ac:dyDescent="0.25">
      <c r="C471" s="1"/>
      <c r="D471" s="1"/>
      <c r="E471" s="1"/>
      <c r="F471" s="1"/>
      <c r="G471" s="15"/>
      <c r="H471" s="1"/>
      <c r="I471" s="20"/>
      <c r="J471" s="20"/>
      <c r="K471" s="14"/>
      <c r="L471" s="20"/>
      <c r="M471" s="14"/>
      <c r="N471" s="17"/>
      <c r="O471" s="17"/>
      <c r="P471" s="17"/>
      <c r="Q471" s="7"/>
    </row>
    <row r="472" spans="3:17" s="2" customFormat="1" ht="15.75" x14ac:dyDescent="0.25">
      <c r="C472" s="1"/>
      <c r="D472" s="1"/>
      <c r="E472" s="1"/>
      <c r="F472" s="1"/>
      <c r="G472" s="15"/>
      <c r="H472" s="1"/>
      <c r="I472" s="20"/>
      <c r="J472" s="20"/>
      <c r="K472" s="14"/>
      <c r="L472" s="20"/>
      <c r="M472" s="14"/>
      <c r="N472" s="17"/>
      <c r="O472" s="17"/>
      <c r="P472" s="17"/>
      <c r="Q472" s="7"/>
    </row>
    <row r="473" spans="3:17" s="2" customFormat="1" ht="15.75" x14ac:dyDescent="0.25">
      <c r="C473" s="1"/>
      <c r="D473" s="1"/>
      <c r="E473" s="1"/>
      <c r="F473" s="1"/>
      <c r="G473" s="15"/>
      <c r="H473" s="1"/>
      <c r="I473" s="20"/>
      <c r="J473" s="20"/>
      <c r="K473" s="14"/>
      <c r="L473" s="20"/>
      <c r="M473" s="14"/>
      <c r="N473" s="17"/>
      <c r="O473" s="17"/>
      <c r="P473" s="17"/>
      <c r="Q473" s="7"/>
    </row>
    <row r="474" spans="3:17" s="2" customFormat="1" ht="15.75" x14ac:dyDescent="0.25">
      <c r="C474" s="1"/>
      <c r="D474" s="1"/>
      <c r="E474" s="1"/>
      <c r="F474" s="1"/>
      <c r="G474" s="15"/>
      <c r="H474" s="1"/>
      <c r="I474" s="20"/>
      <c r="J474" s="20"/>
      <c r="K474" s="14"/>
      <c r="L474" s="20"/>
      <c r="M474" s="14"/>
      <c r="N474" s="17"/>
      <c r="O474" s="17"/>
      <c r="P474" s="17"/>
      <c r="Q474" s="7"/>
    </row>
    <row r="475" spans="3:17" s="2" customFormat="1" ht="15.75" x14ac:dyDescent="0.25">
      <c r="C475" s="1"/>
      <c r="D475" s="1"/>
      <c r="E475" s="1"/>
      <c r="F475" s="1"/>
      <c r="G475" s="15"/>
      <c r="H475" s="1"/>
      <c r="I475" s="20"/>
      <c r="J475" s="20"/>
      <c r="K475" s="14"/>
      <c r="L475" s="20"/>
      <c r="M475" s="14"/>
      <c r="N475" s="17"/>
      <c r="O475" s="17"/>
      <c r="P475" s="17"/>
      <c r="Q475" s="7"/>
    </row>
    <row r="476" spans="3:17" s="2" customFormat="1" ht="15.75" x14ac:dyDescent="0.25">
      <c r="C476" s="1"/>
      <c r="D476" s="1"/>
      <c r="E476" s="1"/>
      <c r="F476" s="1"/>
      <c r="G476" s="15"/>
      <c r="H476" s="1"/>
      <c r="I476" s="20"/>
      <c r="J476" s="20"/>
      <c r="K476" s="14"/>
      <c r="L476" s="20"/>
      <c r="M476" s="14"/>
      <c r="N476" s="17"/>
      <c r="O476" s="17"/>
      <c r="P476" s="17"/>
      <c r="Q476" s="7"/>
    </row>
    <row r="477" spans="3:17" s="2" customFormat="1" ht="15.75" x14ac:dyDescent="0.25">
      <c r="C477" s="1"/>
      <c r="D477" s="1"/>
      <c r="E477" s="1"/>
      <c r="F477" s="1"/>
      <c r="G477" s="15"/>
      <c r="H477" s="1"/>
      <c r="I477" s="20"/>
      <c r="J477" s="20"/>
      <c r="K477" s="14"/>
      <c r="L477" s="20"/>
      <c r="M477" s="14"/>
      <c r="N477" s="17"/>
      <c r="O477" s="17"/>
      <c r="P477" s="17"/>
      <c r="Q477" s="7"/>
    </row>
    <row r="478" spans="3:17" s="2" customFormat="1" ht="15.75" x14ac:dyDescent="0.25">
      <c r="C478" s="1"/>
      <c r="D478" s="1"/>
      <c r="E478" s="1"/>
      <c r="F478" s="1"/>
      <c r="G478" s="15"/>
      <c r="H478" s="1"/>
      <c r="I478" s="20"/>
      <c r="J478" s="20"/>
      <c r="K478" s="14"/>
      <c r="L478" s="20"/>
      <c r="M478" s="14"/>
      <c r="N478" s="17"/>
      <c r="O478" s="17"/>
      <c r="P478" s="17"/>
      <c r="Q478" s="7"/>
    </row>
    <row r="479" spans="3:17" s="2" customFormat="1" ht="15.75" x14ac:dyDescent="0.25">
      <c r="C479" s="1"/>
      <c r="D479" s="1"/>
      <c r="E479" s="1"/>
      <c r="F479" s="1"/>
      <c r="G479" s="15"/>
      <c r="H479" s="1"/>
      <c r="I479" s="20"/>
      <c r="J479" s="20"/>
      <c r="K479" s="14"/>
      <c r="L479" s="20"/>
      <c r="M479" s="14"/>
      <c r="N479" s="17"/>
      <c r="O479" s="17"/>
      <c r="P479" s="17"/>
      <c r="Q479" s="7"/>
    </row>
    <row r="480" spans="3:17" s="2" customFormat="1" ht="15.75" x14ac:dyDescent="0.25">
      <c r="C480" s="1"/>
      <c r="D480" s="1"/>
      <c r="E480" s="1"/>
      <c r="F480" s="1"/>
      <c r="G480" s="15"/>
      <c r="H480" s="1"/>
      <c r="I480" s="20"/>
      <c r="J480" s="20"/>
      <c r="K480" s="14"/>
      <c r="L480" s="20"/>
      <c r="M480" s="14"/>
      <c r="N480" s="17"/>
      <c r="O480" s="17"/>
      <c r="P480" s="17"/>
      <c r="Q480" s="7"/>
    </row>
    <row r="481" spans="3:17" s="2" customFormat="1" ht="15.75" x14ac:dyDescent="0.25">
      <c r="C481" s="1"/>
      <c r="D481" s="1"/>
      <c r="E481" s="1"/>
      <c r="F481" s="1"/>
      <c r="G481" s="15"/>
      <c r="H481" s="1"/>
      <c r="I481" s="20"/>
      <c r="J481" s="20"/>
      <c r="K481" s="14"/>
      <c r="L481" s="20"/>
      <c r="M481" s="14"/>
      <c r="N481" s="17"/>
      <c r="O481" s="17"/>
      <c r="P481" s="17"/>
      <c r="Q481" s="7"/>
    </row>
    <row r="482" spans="3:17" s="2" customFormat="1" ht="15.75" x14ac:dyDescent="0.25">
      <c r="C482" s="1"/>
      <c r="D482" s="1"/>
      <c r="E482" s="1"/>
      <c r="F482" s="1"/>
      <c r="G482" s="15"/>
      <c r="H482" s="1"/>
      <c r="I482" s="20"/>
      <c r="J482" s="20"/>
      <c r="K482" s="14"/>
      <c r="L482" s="20"/>
      <c r="M482" s="14"/>
      <c r="N482" s="17"/>
      <c r="O482" s="17"/>
      <c r="P482" s="17"/>
      <c r="Q482" s="7"/>
    </row>
    <row r="483" spans="3:17" s="2" customFormat="1" ht="15.75" x14ac:dyDescent="0.25">
      <c r="C483" s="1"/>
      <c r="D483" s="1"/>
      <c r="E483" s="1"/>
      <c r="F483" s="1"/>
      <c r="G483" s="15"/>
      <c r="H483" s="1"/>
      <c r="I483" s="20"/>
      <c r="J483" s="20"/>
      <c r="K483" s="14"/>
      <c r="L483" s="20"/>
      <c r="M483" s="14"/>
      <c r="N483" s="17"/>
      <c r="O483" s="17"/>
      <c r="P483" s="17"/>
      <c r="Q483" s="7"/>
    </row>
    <row r="484" spans="3:17" s="2" customFormat="1" ht="15.75" x14ac:dyDescent="0.25">
      <c r="C484" s="1"/>
      <c r="D484" s="1"/>
      <c r="E484" s="1"/>
      <c r="F484" s="1"/>
      <c r="G484" s="15"/>
      <c r="H484" s="1"/>
      <c r="I484" s="20"/>
      <c r="J484" s="20"/>
      <c r="K484" s="14"/>
      <c r="L484" s="20"/>
      <c r="M484" s="14"/>
      <c r="N484" s="17"/>
      <c r="O484" s="17"/>
      <c r="P484" s="17"/>
      <c r="Q484" s="7"/>
    </row>
    <row r="485" spans="3:17" s="2" customFormat="1" ht="15.75" x14ac:dyDescent="0.25">
      <c r="C485" s="1"/>
      <c r="D485" s="1"/>
      <c r="E485" s="1"/>
      <c r="F485" s="1"/>
      <c r="G485" s="15"/>
      <c r="H485" s="1"/>
      <c r="I485" s="20"/>
      <c r="J485" s="20"/>
      <c r="K485" s="14"/>
      <c r="L485" s="20"/>
      <c r="M485" s="14"/>
      <c r="N485" s="17"/>
      <c r="O485" s="17"/>
      <c r="P485" s="17"/>
      <c r="Q485" s="7"/>
    </row>
    <row r="486" spans="3:17" s="2" customFormat="1" ht="15.75" x14ac:dyDescent="0.25">
      <c r="C486" s="1"/>
      <c r="D486" s="1"/>
      <c r="E486" s="1"/>
      <c r="F486" s="1"/>
      <c r="G486" s="15"/>
      <c r="H486" s="1"/>
      <c r="I486" s="20"/>
      <c r="J486" s="20"/>
      <c r="K486" s="14"/>
      <c r="L486" s="20"/>
      <c r="M486" s="14"/>
      <c r="N486" s="17"/>
      <c r="O486" s="17"/>
      <c r="P486" s="17"/>
      <c r="Q486" s="7"/>
    </row>
    <row r="487" spans="3:17" s="2" customFormat="1" ht="15.75" x14ac:dyDescent="0.25">
      <c r="C487" s="1"/>
      <c r="D487" s="1"/>
      <c r="E487" s="1"/>
      <c r="F487" s="1"/>
      <c r="G487" s="15"/>
      <c r="H487" s="1"/>
      <c r="I487" s="20"/>
      <c r="J487" s="20"/>
      <c r="K487" s="14"/>
      <c r="L487" s="20"/>
      <c r="M487" s="14"/>
      <c r="N487" s="17"/>
      <c r="O487" s="17"/>
      <c r="P487" s="17"/>
      <c r="Q487" s="7"/>
    </row>
    <row r="488" spans="3:17" s="2" customFormat="1" ht="15.75" x14ac:dyDescent="0.25">
      <c r="C488" s="1"/>
      <c r="D488" s="1"/>
      <c r="E488" s="1"/>
      <c r="F488" s="1"/>
      <c r="G488" s="15"/>
      <c r="H488" s="1"/>
      <c r="I488" s="20"/>
      <c r="J488" s="20"/>
      <c r="K488" s="14"/>
      <c r="L488" s="20"/>
      <c r="M488" s="14"/>
      <c r="N488" s="17"/>
      <c r="O488" s="17"/>
      <c r="P488" s="17"/>
      <c r="Q488" s="7"/>
    </row>
    <row r="489" spans="3:17" s="2" customFormat="1" ht="15.75" x14ac:dyDescent="0.25">
      <c r="C489" s="1"/>
      <c r="D489" s="1"/>
      <c r="E489" s="1"/>
      <c r="F489" s="1"/>
      <c r="G489" s="15"/>
      <c r="H489" s="1"/>
      <c r="I489" s="20"/>
      <c r="J489" s="20"/>
      <c r="K489" s="14"/>
      <c r="L489" s="20"/>
      <c r="M489" s="14"/>
      <c r="N489" s="17"/>
      <c r="O489" s="17"/>
      <c r="P489" s="17"/>
      <c r="Q489" s="7"/>
    </row>
    <row r="490" spans="3:17" s="2" customFormat="1" ht="15.75" x14ac:dyDescent="0.25">
      <c r="C490" s="1"/>
      <c r="D490" s="1"/>
      <c r="E490" s="1"/>
      <c r="F490" s="1"/>
      <c r="G490" s="15"/>
      <c r="H490" s="1"/>
      <c r="I490" s="20"/>
      <c r="J490" s="20"/>
      <c r="K490" s="14"/>
      <c r="L490" s="20"/>
      <c r="M490" s="14"/>
      <c r="N490" s="17"/>
      <c r="O490" s="17"/>
      <c r="P490" s="17"/>
      <c r="Q490" s="7"/>
    </row>
    <row r="491" spans="3:17" s="2" customFormat="1" ht="15.75" x14ac:dyDescent="0.25">
      <c r="C491" s="1"/>
      <c r="D491" s="1"/>
      <c r="E491" s="1"/>
      <c r="F491" s="1"/>
      <c r="G491" s="15"/>
      <c r="H491" s="1"/>
      <c r="I491" s="20"/>
      <c r="J491" s="20"/>
      <c r="K491" s="14"/>
      <c r="L491" s="20"/>
      <c r="M491" s="14"/>
      <c r="N491" s="17"/>
      <c r="O491" s="17"/>
      <c r="P491" s="17"/>
      <c r="Q491" s="7"/>
    </row>
    <row r="492" spans="3:17" s="2" customFormat="1" ht="15.75" x14ac:dyDescent="0.25">
      <c r="C492" s="1"/>
      <c r="D492" s="1"/>
      <c r="E492" s="1"/>
      <c r="F492" s="1"/>
      <c r="G492" s="15"/>
      <c r="H492" s="1"/>
      <c r="I492" s="20"/>
      <c r="J492" s="20"/>
      <c r="K492" s="14"/>
      <c r="L492" s="20"/>
      <c r="M492" s="14"/>
      <c r="N492" s="17"/>
      <c r="O492" s="17"/>
      <c r="P492" s="17"/>
      <c r="Q492" s="7"/>
    </row>
    <row r="493" spans="3:17" s="2" customFormat="1" ht="15.75" x14ac:dyDescent="0.25">
      <c r="C493" s="1"/>
      <c r="D493" s="1"/>
      <c r="E493" s="1"/>
      <c r="F493" s="1"/>
      <c r="G493" s="15"/>
      <c r="H493" s="1"/>
      <c r="I493" s="20"/>
      <c r="J493" s="20"/>
      <c r="K493" s="14"/>
      <c r="L493" s="20"/>
      <c r="M493" s="14"/>
      <c r="N493" s="17"/>
      <c r="O493" s="17"/>
      <c r="P493" s="17"/>
      <c r="Q493" s="7"/>
    </row>
    <row r="494" spans="3:17" s="2" customFormat="1" ht="15.75" x14ac:dyDescent="0.25">
      <c r="C494" s="1"/>
      <c r="D494" s="1"/>
      <c r="E494" s="1"/>
      <c r="F494" s="1"/>
      <c r="G494" s="15"/>
      <c r="H494" s="1"/>
      <c r="I494" s="20"/>
      <c r="J494" s="20"/>
      <c r="K494" s="14"/>
      <c r="L494" s="20"/>
      <c r="M494" s="14"/>
      <c r="N494" s="17"/>
      <c r="O494" s="17"/>
      <c r="P494" s="17"/>
      <c r="Q494" s="7"/>
    </row>
    <row r="495" spans="3:17" s="2" customFormat="1" ht="15.75" x14ac:dyDescent="0.25">
      <c r="C495" s="1"/>
      <c r="D495" s="1"/>
      <c r="E495" s="1"/>
      <c r="F495" s="1"/>
      <c r="G495" s="15"/>
      <c r="H495" s="1"/>
      <c r="I495" s="20"/>
      <c r="J495" s="20"/>
      <c r="K495" s="14"/>
      <c r="L495" s="20"/>
      <c r="M495" s="14"/>
      <c r="N495" s="17"/>
      <c r="O495" s="17"/>
      <c r="P495" s="17"/>
      <c r="Q495" s="7"/>
    </row>
    <row r="496" spans="3:17" s="2" customFormat="1" ht="15.75" x14ac:dyDescent="0.25">
      <c r="C496" s="1"/>
      <c r="D496" s="1"/>
      <c r="E496" s="1"/>
      <c r="F496" s="1"/>
      <c r="G496" s="15"/>
      <c r="H496" s="1"/>
      <c r="I496" s="20"/>
      <c r="J496" s="20"/>
      <c r="K496" s="14"/>
      <c r="L496" s="20"/>
      <c r="M496" s="14"/>
      <c r="N496" s="17"/>
      <c r="O496" s="17"/>
      <c r="P496" s="17"/>
      <c r="Q496" s="7"/>
    </row>
    <row r="497" spans="3:17" s="2" customFormat="1" ht="15.75" x14ac:dyDescent="0.25">
      <c r="C497" s="1"/>
      <c r="D497" s="1"/>
      <c r="E497" s="1"/>
      <c r="F497" s="1"/>
      <c r="G497" s="15"/>
      <c r="H497" s="1"/>
      <c r="I497" s="20"/>
      <c r="J497" s="20"/>
      <c r="K497" s="14"/>
      <c r="L497" s="20"/>
      <c r="M497" s="14"/>
      <c r="N497" s="17"/>
      <c r="O497" s="17"/>
      <c r="P497" s="17"/>
      <c r="Q497" s="7"/>
    </row>
    <row r="498" spans="3:17" s="2" customFormat="1" ht="15.75" x14ac:dyDescent="0.25">
      <c r="C498" s="1"/>
      <c r="D498" s="1"/>
      <c r="E498" s="1"/>
      <c r="F498" s="1"/>
      <c r="G498" s="15"/>
      <c r="H498" s="1"/>
      <c r="I498" s="20"/>
      <c r="J498" s="20"/>
      <c r="K498" s="14"/>
      <c r="L498" s="20"/>
      <c r="M498" s="14"/>
      <c r="N498" s="17"/>
      <c r="O498" s="17"/>
      <c r="P498" s="17"/>
      <c r="Q498" s="7"/>
    </row>
    <row r="499" spans="3:17" s="2" customFormat="1" ht="15.75" x14ac:dyDescent="0.25">
      <c r="C499" s="1"/>
      <c r="D499" s="1"/>
      <c r="E499" s="1"/>
      <c r="F499" s="1"/>
      <c r="G499" s="15"/>
      <c r="H499" s="1"/>
      <c r="I499" s="20"/>
      <c r="J499" s="20"/>
      <c r="K499" s="14"/>
      <c r="L499" s="20"/>
      <c r="M499" s="14"/>
      <c r="N499" s="17"/>
      <c r="O499" s="17"/>
      <c r="P499" s="17"/>
      <c r="Q499" s="7"/>
    </row>
    <row r="500" spans="3:17" s="2" customFormat="1" ht="15.75" x14ac:dyDescent="0.25">
      <c r="C500" s="1"/>
      <c r="D500" s="1"/>
      <c r="E500" s="1"/>
      <c r="F500" s="1"/>
      <c r="G500" s="15"/>
      <c r="H500" s="1"/>
      <c r="I500" s="20"/>
      <c r="J500" s="20"/>
      <c r="K500" s="14"/>
      <c r="L500" s="20"/>
      <c r="M500" s="14"/>
      <c r="N500" s="17"/>
      <c r="O500" s="17"/>
      <c r="P500" s="17"/>
      <c r="Q500" s="7"/>
    </row>
    <row r="501" spans="3:17" s="2" customFormat="1" ht="15.75" x14ac:dyDescent="0.25">
      <c r="C501" s="1"/>
      <c r="D501" s="1"/>
      <c r="E501" s="1"/>
      <c r="F501" s="1"/>
      <c r="G501" s="15"/>
      <c r="H501" s="1"/>
      <c r="I501" s="20"/>
      <c r="J501" s="20"/>
      <c r="K501" s="14"/>
      <c r="L501" s="20"/>
      <c r="M501" s="14"/>
      <c r="N501" s="17"/>
      <c r="O501" s="17"/>
      <c r="P501" s="17"/>
      <c r="Q501" s="7"/>
    </row>
    <row r="502" spans="3:17" s="2" customFormat="1" ht="15.75" x14ac:dyDescent="0.25">
      <c r="C502" s="1"/>
      <c r="D502" s="1"/>
      <c r="E502" s="1"/>
      <c r="F502" s="1"/>
      <c r="G502" s="15"/>
      <c r="H502" s="1"/>
      <c r="I502" s="20"/>
      <c r="J502" s="20"/>
      <c r="K502" s="14"/>
      <c r="L502" s="20"/>
      <c r="M502" s="14"/>
      <c r="N502" s="17"/>
      <c r="O502" s="17"/>
      <c r="P502" s="17"/>
      <c r="Q502" s="7"/>
    </row>
    <row r="503" spans="3:17" s="2" customFormat="1" ht="15.75" x14ac:dyDescent="0.25">
      <c r="C503" s="1"/>
      <c r="D503" s="1"/>
      <c r="E503" s="1"/>
      <c r="F503" s="1"/>
      <c r="G503" s="15"/>
      <c r="H503" s="1"/>
      <c r="I503" s="20"/>
      <c r="J503" s="20"/>
      <c r="K503" s="14"/>
      <c r="L503" s="20"/>
      <c r="M503" s="14"/>
      <c r="N503" s="17"/>
      <c r="O503" s="17"/>
      <c r="P503" s="17"/>
      <c r="Q503" s="7"/>
    </row>
    <row r="504" spans="3:17" s="2" customFormat="1" ht="15.75" x14ac:dyDescent="0.25">
      <c r="C504" s="1"/>
      <c r="D504" s="1"/>
      <c r="E504" s="1"/>
      <c r="F504" s="1"/>
      <c r="G504" s="15"/>
      <c r="H504" s="1"/>
      <c r="I504" s="20"/>
      <c r="J504" s="20"/>
      <c r="K504" s="14"/>
      <c r="L504" s="20"/>
      <c r="M504" s="14"/>
      <c r="N504" s="17"/>
      <c r="O504" s="17"/>
      <c r="P504" s="17"/>
      <c r="Q504" s="7"/>
    </row>
    <row r="505" spans="3:17" s="2" customFormat="1" ht="15.75" x14ac:dyDescent="0.25">
      <c r="C505" s="1"/>
      <c r="D505" s="1"/>
      <c r="E505" s="1"/>
      <c r="F505" s="1"/>
      <c r="G505" s="15"/>
      <c r="H505" s="1"/>
      <c r="I505" s="20"/>
      <c r="J505" s="20"/>
      <c r="K505" s="14"/>
      <c r="L505" s="20"/>
      <c r="M505" s="14"/>
      <c r="N505" s="17"/>
      <c r="O505" s="17"/>
      <c r="P505" s="17"/>
      <c r="Q505" s="7"/>
    </row>
    <row r="506" spans="3:17" s="2" customFormat="1" ht="15.75" x14ac:dyDescent="0.25">
      <c r="C506" s="1"/>
      <c r="D506" s="1"/>
      <c r="E506" s="1"/>
      <c r="F506" s="1"/>
      <c r="G506" s="15"/>
      <c r="H506" s="1"/>
      <c r="I506" s="20"/>
      <c r="J506" s="20"/>
      <c r="K506" s="14"/>
      <c r="L506" s="20"/>
      <c r="M506" s="14"/>
      <c r="N506" s="17"/>
      <c r="O506" s="17"/>
      <c r="P506" s="17"/>
      <c r="Q506" s="7"/>
    </row>
    <row r="507" spans="3:17" s="2" customFormat="1" ht="15.75" x14ac:dyDescent="0.25">
      <c r="C507" s="1"/>
      <c r="D507" s="1"/>
      <c r="E507" s="1"/>
      <c r="F507" s="1"/>
      <c r="G507" s="15"/>
      <c r="H507" s="1"/>
      <c r="I507" s="20"/>
      <c r="J507" s="20"/>
      <c r="K507" s="14"/>
      <c r="L507" s="20"/>
      <c r="M507" s="14"/>
      <c r="N507" s="17"/>
      <c r="O507" s="17"/>
      <c r="P507" s="17"/>
      <c r="Q507" s="7"/>
    </row>
    <row r="508" spans="3:17" s="2" customFormat="1" ht="15.75" x14ac:dyDescent="0.25">
      <c r="C508" s="1"/>
      <c r="D508" s="1"/>
      <c r="E508" s="1"/>
      <c r="F508" s="1"/>
      <c r="G508" s="15"/>
      <c r="H508" s="1"/>
      <c r="I508" s="20"/>
      <c r="J508" s="20"/>
      <c r="K508" s="14"/>
      <c r="L508" s="20"/>
      <c r="M508" s="14"/>
      <c r="N508" s="17"/>
      <c r="O508" s="17"/>
      <c r="P508" s="17"/>
      <c r="Q508" s="7"/>
    </row>
    <row r="509" spans="3:17" s="2" customFormat="1" ht="15.75" x14ac:dyDescent="0.25">
      <c r="C509" s="1"/>
      <c r="D509" s="1"/>
      <c r="E509" s="1"/>
      <c r="F509" s="1"/>
      <c r="G509" s="15"/>
      <c r="H509" s="1"/>
      <c r="I509" s="20"/>
      <c r="J509" s="20"/>
      <c r="K509" s="14"/>
      <c r="L509" s="20"/>
      <c r="M509" s="14"/>
      <c r="N509" s="17"/>
      <c r="O509" s="17"/>
      <c r="P509" s="17"/>
      <c r="Q509" s="7"/>
    </row>
    <row r="510" spans="3:17" s="2" customFormat="1" ht="15.75" x14ac:dyDescent="0.25">
      <c r="C510" s="1"/>
      <c r="D510" s="1"/>
      <c r="E510" s="1"/>
      <c r="F510" s="1"/>
      <c r="G510" s="15"/>
      <c r="H510" s="1"/>
      <c r="I510" s="20"/>
      <c r="J510" s="20"/>
      <c r="K510" s="14"/>
      <c r="L510" s="20"/>
      <c r="M510" s="14"/>
      <c r="N510" s="17"/>
      <c r="O510" s="17"/>
      <c r="P510" s="17"/>
      <c r="Q510" s="7"/>
    </row>
    <row r="511" spans="3:17" s="2" customFormat="1" ht="15.75" x14ac:dyDescent="0.25">
      <c r="C511" s="1"/>
      <c r="D511" s="1"/>
      <c r="E511" s="1"/>
      <c r="F511" s="1"/>
      <c r="G511" s="15"/>
      <c r="H511" s="1"/>
      <c r="I511" s="20"/>
      <c r="J511" s="20"/>
      <c r="K511" s="14"/>
      <c r="L511" s="20"/>
      <c r="M511" s="14"/>
      <c r="N511" s="17"/>
      <c r="O511" s="17"/>
      <c r="P511" s="17"/>
      <c r="Q511" s="7"/>
    </row>
    <row r="512" spans="3:17" s="2" customFormat="1" ht="15.75" x14ac:dyDescent="0.25">
      <c r="C512" s="1"/>
      <c r="D512" s="1"/>
      <c r="E512" s="1"/>
      <c r="F512" s="1"/>
      <c r="G512" s="15"/>
      <c r="H512" s="1"/>
      <c r="I512" s="20"/>
      <c r="J512" s="20"/>
      <c r="K512" s="14"/>
      <c r="L512" s="20"/>
      <c r="M512" s="14"/>
      <c r="N512" s="17"/>
      <c r="O512" s="17"/>
      <c r="P512" s="17"/>
      <c r="Q512" s="7"/>
    </row>
    <row r="513" spans="3:17" s="2" customFormat="1" ht="15.75" x14ac:dyDescent="0.25">
      <c r="C513" s="1"/>
      <c r="D513" s="1"/>
      <c r="E513" s="1"/>
      <c r="F513" s="1"/>
      <c r="G513" s="15"/>
      <c r="H513" s="1"/>
      <c r="I513" s="20"/>
      <c r="J513" s="20"/>
      <c r="K513" s="14"/>
      <c r="L513" s="20"/>
      <c r="M513" s="14"/>
      <c r="N513" s="17"/>
      <c r="O513" s="17"/>
      <c r="P513" s="17"/>
      <c r="Q513" s="7"/>
    </row>
    <row r="514" spans="3:17" s="2" customFormat="1" ht="15.75" x14ac:dyDescent="0.25">
      <c r="C514" s="1"/>
      <c r="D514" s="1"/>
      <c r="E514" s="1"/>
      <c r="F514" s="1"/>
      <c r="G514" s="15"/>
      <c r="H514" s="1"/>
      <c r="I514" s="20"/>
      <c r="J514" s="20"/>
      <c r="K514" s="14"/>
      <c r="L514" s="20"/>
      <c r="M514" s="14"/>
      <c r="N514" s="17"/>
      <c r="O514" s="17"/>
      <c r="P514" s="17"/>
      <c r="Q514" s="7"/>
    </row>
    <row r="515" spans="3:17" s="2" customFormat="1" ht="15.75" x14ac:dyDescent="0.25">
      <c r="C515" s="1"/>
      <c r="D515" s="1"/>
      <c r="E515" s="1"/>
      <c r="F515" s="1"/>
      <c r="G515" s="15"/>
      <c r="H515" s="1"/>
      <c r="I515" s="20"/>
      <c r="J515" s="20"/>
      <c r="K515" s="14"/>
      <c r="L515" s="20"/>
      <c r="M515" s="14"/>
      <c r="N515" s="17"/>
      <c r="O515" s="17"/>
      <c r="P515" s="17"/>
      <c r="Q515" s="7"/>
    </row>
    <row r="516" spans="3:17" s="2" customFormat="1" ht="15.75" x14ac:dyDescent="0.25">
      <c r="C516" s="1"/>
      <c r="D516" s="1"/>
      <c r="E516" s="1"/>
      <c r="F516" s="1"/>
      <c r="G516" s="15"/>
      <c r="H516" s="1"/>
      <c r="I516" s="20"/>
      <c r="J516" s="20"/>
      <c r="K516" s="14"/>
      <c r="L516" s="20"/>
      <c r="M516" s="14"/>
      <c r="N516" s="17"/>
      <c r="O516" s="17"/>
      <c r="P516" s="17"/>
      <c r="Q516" s="7"/>
    </row>
    <row r="517" spans="3:17" s="2" customFormat="1" ht="15.75" x14ac:dyDescent="0.25">
      <c r="C517" s="1"/>
      <c r="D517" s="1"/>
      <c r="E517" s="1"/>
      <c r="F517" s="1"/>
      <c r="G517" s="15"/>
      <c r="H517" s="1"/>
      <c r="I517" s="20"/>
      <c r="J517" s="20"/>
      <c r="K517" s="14"/>
      <c r="L517" s="20"/>
      <c r="M517" s="14"/>
      <c r="N517" s="17"/>
      <c r="O517" s="17"/>
      <c r="P517" s="17"/>
      <c r="Q517" s="7"/>
    </row>
    <row r="518" spans="3:17" s="2" customFormat="1" ht="15.75" x14ac:dyDescent="0.25">
      <c r="C518" s="1"/>
      <c r="D518" s="1"/>
      <c r="E518" s="1"/>
      <c r="F518" s="1"/>
      <c r="G518" s="15"/>
      <c r="H518" s="1"/>
      <c r="I518" s="20"/>
      <c r="J518" s="20"/>
      <c r="K518" s="14"/>
      <c r="L518" s="20"/>
      <c r="M518" s="14"/>
      <c r="N518" s="17"/>
      <c r="O518" s="17"/>
      <c r="P518" s="17"/>
      <c r="Q518" s="7"/>
    </row>
    <row r="519" spans="3:17" s="2" customFormat="1" ht="15.75" x14ac:dyDescent="0.25">
      <c r="C519" s="1"/>
      <c r="D519" s="1"/>
      <c r="E519" s="1"/>
      <c r="F519" s="1"/>
      <c r="G519" s="15"/>
      <c r="H519" s="1"/>
      <c r="I519" s="20"/>
      <c r="J519" s="20"/>
      <c r="K519" s="14"/>
      <c r="L519" s="20"/>
      <c r="M519" s="14"/>
      <c r="N519" s="17"/>
      <c r="O519" s="17"/>
      <c r="P519" s="17"/>
      <c r="Q519" s="7"/>
    </row>
    <row r="520" spans="3:17" s="2" customFormat="1" ht="15.75" x14ac:dyDescent="0.25">
      <c r="C520" s="1"/>
      <c r="D520" s="1"/>
      <c r="E520" s="1"/>
      <c r="F520" s="1"/>
      <c r="G520" s="15"/>
      <c r="H520" s="1"/>
      <c r="I520" s="20"/>
      <c r="J520" s="20"/>
      <c r="K520" s="14"/>
      <c r="L520" s="20"/>
      <c r="M520" s="14"/>
      <c r="N520" s="17"/>
      <c r="O520" s="17"/>
      <c r="P520" s="17"/>
      <c r="Q520" s="7"/>
    </row>
    <row r="521" spans="3:17" s="2" customFormat="1" ht="15.75" x14ac:dyDescent="0.25">
      <c r="C521" s="1"/>
      <c r="D521" s="1"/>
      <c r="E521" s="1"/>
      <c r="F521" s="1"/>
      <c r="G521" s="15"/>
      <c r="H521" s="1"/>
      <c r="I521" s="20"/>
      <c r="J521" s="20"/>
      <c r="K521" s="14"/>
      <c r="L521" s="20"/>
      <c r="M521" s="14"/>
      <c r="N521" s="17"/>
      <c r="O521" s="17"/>
      <c r="P521" s="17"/>
      <c r="Q521" s="7"/>
    </row>
    <row r="522" spans="3:17" s="2" customFormat="1" ht="15.75" x14ac:dyDescent="0.25">
      <c r="C522" s="1"/>
      <c r="D522" s="1"/>
      <c r="E522" s="1"/>
      <c r="F522" s="1"/>
      <c r="G522" s="15"/>
      <c r="H522" s="1"/>
      <c r="I522" s="20"/>
      <c r="J522" s="20"/>
      <c r="K522" s="14"/>
      <c r="L522" s="20"/>
      <c r="M522" s="14"/>
      <c r="N522" s="17"/>
      <c r="O522" s="17"/>
      <c r="P522" s="17"/>
      <c r="Q522" s="7"/>
    </row>
    <row r="523" spans="3:17" s="2" customFormat="1" ht="15.75" x14ac:dyDescent="0.25">
      <c r="C523" s="1"/>
      <c r="D523" s="1"/>
      <c r="E523" s="1"/>
      <c r="F523" s="1"/>
      <c r="G523" s="15"/>
      <c r="H523" s="1"/>
      <c r="I523" s="20"/>
      <c r="J523" s="20"/>
      <c r="K523" s="14"/>
      <c r="L523" s="20"/>
      <c r="M523" s="14"/>
      <c r="N523" s="17"/>
      <c r="O523" s="17"/>
      <c r="P523" s="17"/>
      <c r="Q523" s="7"/>
    </row>
    <row r="524" spans="3:17" s="2" customFormat="1" ht="15.75" x14ac:dyDescent="0.25">
      <c r="C524" s="1"/>
      <c r="D524" s="1"/>
      <c r="E524" s="1"/>
      <c r="F524" s="1"/>
      <c r="G524" s="15"/>
      <c r="H524" s="1"/>
      <c r="I524" s="20"/>
      <c r="J524" s="20"/>
      <c r="K524" s="14"/>
      <c r="L524" s="20"/>
      <c r="M524" s="14"/>
      <c r="N524" s="17"/>
      <c r="O524" s="17"/>
      <c r="P524" s="17"/>
      <c r="Q524" s="7"/>
    </row>
    <row r="525" spans="3:17" s="2" customFormat="1" ht="15.75" x14ac:dyDescent="0.25">
      <c r="C525" s="1"/>
      <c r="D525" s="1"/>
      <c r="E525" s="1"/>
      <c r="F525" s="1"/>
      <c r="G525" s="15"/>
      <c r="H525" s="1"/>
      <c r="I525" s="20"/>
      <c r="J525" s="20"/>
      <c r="K525" s="14"/>
      <c r="L525" s="20"/>
      <c r="M525" s="14"/>
      <c r="N525" s="17"/>
      <c r="O525" s="17"/>
      <c r="P525" s="17"/>
      <c r="Q525" s="7"/>
    </row>
    <row r="526" spans="3:17" s="2" customFormat="1" ht="15.75" x14ac:dyDescent="0.25">
      <c r="C526" s="1"/>
      <c r="D526" s="1"/>
      <c r="E526" s="1"/>
      <c r="F526" s="1"/>
      <c r="G526" s="15"/>
      <c r="H526" s="1"/>
      <c r="I526" s="20"/>
      <c r="J526" s="20"/>
      <c r="K526" s="14"/>
      <c r="L526" s="20"/>
      <c r="M526" s="14"/>
      <c r="N526" s="17"/>
      <c r="O526" s="17"/>
      <c r="P526" s="17"/>
      <c r="Q526" s="7"/>
    </row>
    <row r="527" spans="3:17" s="2" customFormat="1" ht="15.75" x14ac:dyDescent="0.25">
      <c r="C527" s="1"/>
      <c r="D527" s="1"/>
      <c r="E527" s="1"/>
      <c r="F527" s="1"/>
      <c r="G527" s="15"/>
      <c r="H527" s="1"/>
      <c r="I527" s="20"/>
      <c r="J527" s="20"/>
      <c r="K527" s="14"/>
      <c r="L527" s="20"/>
      <c r="M527" s="14"/>
      <c r="N527" s="17"/>
      <c r="O527" s="17"/>
      <c r="P527" s="17"/>
      <c r="Q527" s="7"/>
    </row>
    <row r="528" spans="3:17" s="2" customFormat="1" ht="15.75" x14ac:dyDescent="0.25">
      <c r="C528" s="1"/>
      <c r="D528" s="1"/>
      <c r="E528" s="1"/>
      <c r="F528" s="1"/>
      <c r="G528" s="15"/>
      <c r="H528" s="1"/>
      <c r="I528" s="20"/>
      <c r="J528" s="20"/>
      <c r="K528" s="14"/>
      <c r="L528" s="20"/>
      <c r="M528" s="14"/>
      <c r="N528" s="17"/>
      <c r="O528" s="17"/>
      <c r="P528" s="17"/>
      <c r="Q528" s="7"/>
    </row>
    <row r="529" spans="3:17" s="2" customFormat="1" ht="15.75" x14ac:dyDescent="0.25">
      <c r="C529" s="1"/>
      <c r="D529" s="1"/>
      <c r="E529" s="1"/>
      <c r="F529" s="1"/>
      <c r="G529" s="15"/>
      <c r="H529" s="1"/>
      <c r="I529" s="20"/>
      <c r="J529" s="20"/>
      <c r="K529" s="14"/>
      <c r="L529" s="20"/>
      <c r="M529" s="14"/>
      <c r="N529" s="17"/>
      <c r="O529" s="17"/>
      <c r="P529" s="17"/>
      <c r="Q529" s="7"/>
    </row>
    <row r="530" spans="3:17" s="2" customFormat="1" ht="15.75" x14ac:dyDescent="0.25">
      <c r="C530" s="1"/>
      <c r="D530" s="1"/>
      <c r="E530" s="1"/>
      <c r="F530" s="1"/>
      <c r="G530" s="15"/>
      <c r="H530" s="1"/>
      <c r="I530" s="20"/>
      <c r="J530" s="20"/>
      <c r="K530" s="14"/>
      <c r="L530" s="20"/>
      <c r="M530" s="14"/>
      <c r="N530" s="17"/>
      <c r="O530" s="17"/>
      <c r="P530" s="17"/>
      <c r="Q530" s="7"/>
    </row>
    <row r="531" spans="3:17" s="2" customFormat="1" ht="15.75" x14ac:dyDescent="0.25">
      <c r="C531" s="1"/>
      <c r="D531" s="1"/>
      <c r="E531" s="1"/>
      <c r="F531" s="1"/>
      <c r="G531" s="15"/>
      <c r="H531" s="1"/>
      <c r="I531" s="20"/>
      <c r="J531" s="20"/>
      <c r="K531" s="14"/>
      <c r="L531" s="20"/>
      <c r="M531" s="14"/>
      <c r="N531" s="17"/>
      <c r="O531" s="17"/>
      <c r="P531" s="17"/>
      <c r="Q531" s="7"/>
    </row>
    <row r="532" spans="3:17" s="2" customFormat="1" ht="15.75" x14ac:dyDescent="0.25">
      <c r="C532" s="1"/>
      <c r="D532" s="1"/>
      <c r="E532" s="1"/>
      <c r="F532" s="1"/>
      <c r="G532" s="15"/>
      <c r="H532" s="1"/>
      <c r="I532" s="20"/>
      <c r="J532" s="20"/>
      <c r="K532" s="14"/>
      <c r="L532" s="20"/>
      <c r="M532" s="14"/>
      <c r="N532" s="17"/>
      <c r="O532" s="17"/>
      <c r="P532" s="17"/>
      <c r="Q532" s="7"/>
    </row>
    <row r="533" spans="3:17" s="2" customFormat="1" ht="15.75" x14ac:dyDescent="0.25">
      <c r="C533" s="1"/>
      <c r="D533" s="1"/>
      <c r="E533" s="1"/>
      <c r="F533" s="1"/>
      <c r="G533" s="15"/>
      <c r="H533" s="1"/>
      <c r="I533" s="20"/>
      <c r="J533" s="20"/>
      <c r="K533" s="14"/>
      <c r="L533" s="20"/>
      <c r="M533" s="14"/>
      <c r="N533" s="17"/>
      <c r="O533" s="17"/>
      <c r="P533" s="17"/>
      <c r="Q533" s="7"/>
    </row>
    <row r="534" spans="3:17" s="2" customFormat="1" ht="15.75" x14ac:dyDescent="0.25">
      <c r="C534" s="1"/>
      <c r="D534" s="1"/>
      <c r="E534" s="1"/>
      <c r="F534" s="1"/>
      <c r="G534" s="15"/>
      <c r="H534" s="1"/>
      <c r="I534" s="20"/>
      <c r="J534" s="20"/>
      <c r="K534" s="14"/>
      <c r="L534" s="20"/>
      <c r="M534" s="14"/>
      <c r="N534" s="17"/>
      <c r="O534" s="17"/>
      <c r="P534" s="17"/>
      <c r="Q534" s="7"/>
    </row>
    <row r="535" spans="3:17" s="2" customFormat="1" ht="15.75" x14ac:dyDescent="0.25">
      <c r="C535" s="1"/>
      <c r="D535" s="1"/>
      <c r="E535" s="1"/>
      <c r="F535" s="1"/>
      <c r="G535" s="15"/>
      <c r="H535" s="1"/>
      <c r="I535" s="20"/>
      <c r="J535" s="20"/>
      <c r="K535" s="14"/>
      <c r="L535" s="20"/>
      <c r="M535" s="14"/>
      <c r="N535" s="17"/>
      <c r="O535" s="17"/>
      <c r="P535" s="17"/>
      <c r="Q535" s="7"/>
    </row>
    <row r="536" spans="3:17" s="2" customFormat="1" ht="15.75" x14ac:dyDescent="0.25">
      <c r="C536" s="1"/>
      <c r="D536" s="1"/>
      <c r="E536" s="1"/>
      <c r="F536" s="1"/>
      <c r="G536" s="15"/>
      <c r="H536" s="1"/>
      <c r="I536" s="20"/>
      <c r="J536" s="20"/>
      <c r="K536" s="14"/>
      <c r="L536" s="20"/>
      <c r="M536" s="14"/>
      <c r="N536" s="17"/>
      <c r="O536" s="17"/>
      <c r="P536" s="17"/>
      <c r="Q536" s="7"/>
    </row>
    <row r="537" spans="3:17" s="2" customFormat="1" ht="15.75" x14ac:dyDescent="0.25">
      <c r="C537" s="1"/>
      <c r="D537" s="1"/>
      <c r="E537" s="1"/>
      <c r="F537" s="1"/>
      <c r="G537" s="15"/>
      <c r="H537" s="1"/>
      <c r="I537" s="20"/>
      <c r="J537" s="20"/>
      <c r="K537" s="14"/>
      <c r="L537" s="20"/>
      <c r="M537" s="14"/>
      <c r="N537" s="17"/>
      <c r="O537" s="17"/>
      <c r="P537" s="17"/>
      <c r="Q537" s="7"/>
    </row>
    <row r="538" spans="3:17" s="2" customFormat="1" ht="15.75" x14ac:dyDescent="0.25">
      <c r="C538" s="1"/>
      <c r="D538" s="1"/>
      <c r="E538" s="1"/>
      <c r="F538" s="1"/>
      <c r="G538" s="15"/>
      <c r="H538" s="1"/>
      <c r="I538" s="20"/>
      <c r="J538" s="20"/>
      <c r="K538" s="14"/>
      <c r="L538" s="20"/>
      <c r="M538" s="14"/>
      <c r="N538" s="17"/>
      <c r="O538" s="17"/>
      <c r="P538" s="17"/>
      <c r="Q538" s="7"/>
    </row>
    <row r="539" spans="3:17" s="2" customFormat="1" ht="15.75" x14ac:dyDescent="0.25">
      <c r="C539" s="1"/>
      <c r="D539" s="1"/>
      <c r="E539" s="1"/>
      <c r="F539" s="1"/>
      <c r="G539" s="15"/>
      <c r="H539" s="1"/>
      <c r="I539" s="20"/>
      <c r="J539" s="20"/>
      <c r="K539" s="14"/>
      <c r="L539" s="20"/>
      <c r="M539" s="14"/>
      <c r="N539" s="17"/>
      <c r="O539" s="17"/>
      <c r="P539" s="17"/>
      <c r="Q539" s="7"/>
    </row>
    <row r="540" spans="3:17" s="2" customFormat="1" ht="15.75" x14ac:dyDescent="0.25">
      <c r="C540" s="1"/>
      <c r="D540" s="1"/>
      <c r="E540" s="1"/>
      <c r="F540" s="1"/>
      <c r="G540" s="15"/>
      <c r="H540" s="1"/>
      <c r="I540" s="20"/>
      <c r="J540" s="20"/>
      <c r="K540" s="14"/>
      <c r="L540" s="20"/>
      <c r="M540" s="14"/>
      <c r="N540" s="17"/>
      <c r="O540" s="17"/>
      <c r="P540" s="17"/>
      <c r="Q540" s="7"/>
    </row>
    <row r="541" spans="3:17" s="2" customFormat="1" ht="15.75" x14ac:dyDescent="0.25">
      <c r="C541" s="1"/>
      <c r="D541" s="1"/>
      <c r="E541" s="1"/>
      <c r="F541" s="1"/>
      <c r="G541" s="15"/>
      <c r="H541" s="1"/>
      <c r="I541" s="20"/>
      <c r="J541" s="20"/>
      <c r="K541" s="14"/>
      <c r="L541" s="20"/>
      <c r="M541" s="14"/>
      <c r="N541" s="17"/>
      <c r="O541" s="17"/>
      <c r="P541" s="17"/>
      <c r="Q541" s="7"/>
    </row>
    <row r="542" spans="3:17" s="2" customFormat="1" ht="15.75" x14ac:dyDescent="0.25">
      <c r="C542" s="1"/>
      <c r="D542" s="1"/>
      <c r="E542" s="1"/>
      <c r="F542" s="1"/>
      <c r="G542" s="15"/>
      <c r="H542" s="1"/>
      <c r="I542" s="20"/>
      <c r="J542" s="20"/>
      <c r="K542" s="14"/>
      <c r="L542" s="20"/>
      <c r="M542" s="14"/>
      <c r="N542" s="17"/>
      <c r="O542" s="17"/>
      <c r="P542" s="17"/>
      <c r="Q542" s="7"/>
    </row>
    <row r="543" spans="3:17" s="2" customFormat="1" ht="15.75" x14ac:dyDescent="0.25">
      <c r="C543" s="1"/>
      <c r="D543" s="1"/>
      <c r="E543" s="1"/>
      <c r="F543" s="1"/>
      <c r="G543" s="15"/>
      <c r="H543" s="1"/>
      <c r="I543" s="20"/>
      <c r="J543" s="20"/>
      <c r="K543" s="14"/>
      <c r="L543" s="20"/>
      <c r="M543" s="14"/>
      <c r="N543" s="17"/>
      <c r="O543" s="17"/>
      <c r="P543" s="17"/>
      <c r="Q543" s="7"/>
    </row>
    <row r="544" spans="3:17" s="2" customFormat="1" ht="15.75" x14ac:dyDescent="0.25">
      <c r="C544" s="1"/>
      <c r="D544" s="1"/>
      <c r="E544" s="1"/>
      <c r="F544" s="1"/>
      <c r="G544" s="15"/>
      <c r="H544" s="1"/>
      <c r="I544" s="20"/>
      <c r="J544" s="20"/>
      <c r="K544" s="14"/>
      <c r="L544" s="20"/>
      <c r="M544" s="14"/>
      <c r="N544" s="17"/>
      <c r="O544" s="17"/>
      <c r="P544" s="17"/>
      <c r="Q544" s="7"/>
    </row>
    <row r="545" spans="3:17" s="2" customFormat="1" ht="15.75" x14ac:dyDescent="0.25">
      <c r="C545" s="1"/>
      <c r="D545" s="1"/>
      <c r="E545" s="1"/>
      <c r="F545" s="1"/>
      <c r="G545" s="15"/>
      <c r="H545" s="1"/>
      <c r="I545" s="20"/>
      <c r="J545" s="20"/>
      <c r="K545" s="14"/>
      <c r="L545" s="20"/>
      <c r="M545" s="14"/>
      <c r="N545" s="17"/>
      <c r="O545" s="17"/>
      <c r="P545" s="17"/>
      <c r="Q545" s="7"/>
    </row>
    <row r="546" spans="3:17" s="2" customFormat="1" ht="15.75" x14ac:dyDescent="0.25">
      <c r="C546" s="1"/>
      <c r="D546" s="1"/>
      <c r="E546" s="1"/>
      <c r="F546" s="1"/>
      <c r="G546" s="15"/>
      <c r="H546" s="1"/>
      <c r="I546" s="20"/>
      <c r="J546" s="20"/>
      <c r="K546" s="14"/>
      <c r="L546" s="20"/>
      <c r="M546" s="14"/>
      <c r="N546" s="17"/>
      <c r="O546" s="17"/>
      <c r="P546" s="17"/>
      <c r="Q546" s="7"/>
    </row>
    <row r="547" spans="3:17" s="2" customFormat="1" ht="15.75" x14ac:dyDescent="0.25">
      <c r="C547" s="1"/>
      <c r="D547" s="1"/>
      <c r="E547" s="1"/>
      <c r="F547" s="1"/>
      <c r="G547" s="15"/>
      <c r="H547" s="1"/>
      <c r="I547" s="20"/>
      <c r="J547" s="20"/>
      <c r="K547" s="14"/>
      <c r="L547" s="20"/>
      <c r="M547" s="14"/>
      <c r="N547" s="17"/>
      <c r="O547" s="17"/>
      <c r="P547" s="17"/>
      <c r="Q547" s="7"/>
    </row>
    <row r="548" spans="3:17" s="2" customFormat="1" ht="15.75" x14ac:dyDescent="0.25">
      <c r="C548" s="1"/>
      <c r="D548" s="1"/>
      <c r="E548" s="1"/>
      <c r="F548" s="1"/>
      <c r="G548" s="15"/>
      <c r="H548" s="1"/>
      <c r="I548" s="20"/>
      <c r="J548" s="20"/>
      <c r="K548" s="14"/>
      <c r="L548" s="20"/>
      <c r="M548" s="14"/>
      <c r="N548" s="17"/>
      <c r="O548" s="17"/>
      <c r="P548" s="17"/>
      <c r="Q548" s="7"/>
    </row>
    <row r="549" spans="3:17" s="2" customFormat="1" ht="15.75" x14ac:dyDescent="0.25">
      <c r="C549" s="1"/>
      <c r="D549" s="1"/>
      <c r="E549" s="1"/>
      <c r="F549" s="1"/>
      <c r="G549" s="15"/>
      <c r="H549" s="1"/>
      <c r="I549" s="20"/>
      <c r="J549" s="20"/>
      <c r="K549" s="14"/>
      <c r="L549" s="20"/>
      <c r="M549" s="14"/>
      <c r="N549" s="17"/>
      <c r="O549" s="17"/>
      <c r="P549" s="17"/>
      <c r="Q549" s="7"/>
    </row>
    <row r="550" spans="3:17" s="2" customFormat="1" ht="15.75" x14ac:dyDescent="0.25">
      <c r="C550" s="1"/>
      <c r="D550" s="1"/>
      <c r="E550" s="1"/>
      <c r="F550" s="1"/>
      <c r="G550" s="15"/>
      <c r="H550" s="1"/>
      <c r="I550" s="20"/>
      <c r="J550" s="20"/>
      <c r="K550" s="14"/>
      <c r="L550" s="20"/>
      <c r="M550" s="14"/>
      <c r="N550" s="17"/>
      <c r="O550" s="17"/>
      <c r="P550" s="17"/>
      <c r="Q550" s="7"/>
    </row>
    <row r="551" spans="3:17" s="2" customFormat="1" ht="15.75" x14ac:dyDescent="0.25">
      <c r="C551" s="1"/>
      <c r="D551" s="1"/>
      <c r="E551" s="1"/>
      <c r="F551" s="1"/>
      <c r="G551" s="15"/>
      <c r="H551" s="1"/>
      <c r="I551" s="20"/>
      <c r="J551" s="20"/>
      <c r="K551" s="14"/>
      <c r="L551" s="20"/>
      <c r="M551" s="14"/>
      <c r="N551" s="17"/>
      <c r="O551" s="17"/>
      <c r="P551" s="17"/>
      <c r="Q551" s="7"/>
    </row>
    <row r="552" spans="3:17" s="2" customFormat="1" ht="15.75" x14ac:dyDescent="0.25">
      <c r="C552" s="1"/>
      <c r="D552" s="1"/>
      <c r="E552" s="1"/>
      <c r="F552" s="1"/>
      <c r="G552" s="15"/>
      <c r="H552" s="1"/>
      <c r="I552" s="20"/>
      <c r="J552" s="20"/>
      <c r="K552" s="14"/>
      <c r="L552" s="20"/>
      <c r="M552" s="14"/>
      <c r="N552" s="17"/>
      <c r="O552" s="17"/>
      <c r="P552" s="17"/>
      <c r="Q552" s="7"/>
    </row>
    <row r="553" spans="3:17" s="2" customFormat="1" ht="15.75" x14ac:dyDescent="0.25">
      <c r="C553" s="1"/>
      <c r="D553" s="1"/>
      <c r="E553" s="1"/>
      <c r="F553" s="1"/>
      <c r="G553" s="15"/>
      <c r="H553" s="1"/>
      <c r="I553" s="20"/>
      <c r="J553" s="20"/>
      <c r="K553" s="14"/>
      <c r="L553" s="20"/>
      <c r="M553" s="14"/>
      <c r="N553" s="17"/>
      <c r="O553" s="17"/>
      <c r="P553" s="17"/>
      <c r="Q553" s="7"/>
    </row>
    <row r="554" spans="3:17" s="2" customFormat="1" ht="15.75" x14ac:dyDescent="0.25">
      <c r="C554" s="1"/>
      <c r="D554" s="1"/>
      <c r="E554" s="1"/>
      <c r="F554" s="1"/>
      <c r="G554" s="15"/>
      <c r="H554" s="1"/>
      <c r="I554" s="20"/>
      <c r="J554" s="20"/>
      <c r="K554" s="14"/>
      <c r="L554" s="20"/>
      <c r="M554" s="14"/>
      <c r="N554" s="17"/>
      <c r="O554" s="17"/>
      <c r="P554" s="17"/>
      <c r="Q554" s="7"/>
    </row>
    <row r="555" spans="3:17" s="2" customFormat="1" ht="15.75" x14ac:dyDescent="0.25">
      <c r="C555" s="1"/>
      <c r="D555" s="1"/>
      <c r="E555" s="1"/>
      <c r="F555" s="1"/>
      <c r="G555" s="15"/>
      <c r="H555" s="1"/>
      <c r="I555" s="20"/>
      <c r="J555" s="20"/>
      <c r="K555" s="14"/>
      <c r="L555" s="20"/>
      <c r="M555" s="14"/>
      <c r="N555" s="17"/>
      <c r="O555" s="17"/>
      <c r="P555" s="17"/>
      <c r="Q555" s="7"/>
    </row>
    <row r="556" spans="3:17" s="2" customFormat="1" ht="15.75" x14ac:dyDescent="0.25">
      <c r="C556" s="1"/>
      <c r="D556" s="1"/>
      <c r="E556" s="1"/>
      <c r="F556" s="1"/>
      <c r="G556" s="15"/>
      <c r="H556" s="1"/>
      <c r="I556" s="20"/>
      <c r="J556" s="20"/>
      <c r="K556" s="14"/>
      <c r="L556" s="20"/>
      <c r="M556" s="14"/>
      <c r="N556" s="17"/>
      <c r="O556" s="17"/>
      <c r="P556" s="17"/>
      <c r="Q556" s="7"/>
    </row>
    <row r="557" spans="3:17" s="2" customFormat="1" ht="15.75" x14ac:dyDescent="0.25">
      <c r="C557" s="1"/>
      <c r="D557" s="1"/>
      <c r="E557" s="1"/>
      <c r="F557" s="1"/>
      <c r="G557" s="15"/>
      <c r="H557" s="1"/>
      <c r="I557" s="20"/>
      <c r="J557" s="20"/>
      <c r="K557" s="14"/>
      <c r="L557" s="20"/>
      <c r="M557" s="14"/>
      <c r="N557" s="17"/>
      <c r="O557" s="17"/>
      <c r="P557" s="17"/>
      <c r="Q557" s="7"/>
    </row>
    <row r="558" spans="3:17" s="2" customFormat="1" ht="15.75" x14ac:dyDescent="0.25">
      <c r="C558" s="1"/>
      <c r="D558" s="1"/>
      <c r="E558" s="1"/>
      <c r="F558" s="1"/>
      <c r="G558" s="15"/>
      <c r="H558" s="1"/>
      <c r="I558" s="20"/>
      <c r="J558" s="20"/>
      <c r="K558" s="14"/>
      <c r="L558" s="20"/>
      <c r="M558" s="14"/>
      <c r="N558" s="17"/>
      <c r="O558" s="17"/>
      <c r="P558" s="17"/>
      <c r="Q558" s="7"/>
    </row>
    <row r="559" spans="3:17" s="2" customFormat="1" ht="15.75" x14ac:dyDescent="0.25">
      <c r="C559" s="1"/>
      <c r="D559" s="1"/>
      <c r="E559" s="1"/>
      <c r="F559" s="1"/>
      <c r="G559" s="15"/>
      <c r="H559" s="1"/>
      <c r="I559" s="20"/>
      <c r="J559" s="20"/>
      <c r="K559" s="14"/>
      <c r="L559" s="20"/>
      <c r="M559" s="14"/>
      <c r="N559" s="17"/>
      <c r="O559" s="17"/>
      <c r="P559" s="17"/>
      <c r="Q559" s="7"/>
    </row>
    <row r="560" spans="3:17" s="2" customFormat="1" ht="15.75" x14ac:dyDescent="0.25">
      <c r="C560" s="1"/>
      <c r="D560" s="1"/>
      <c r="E560" s="1"/>
      <c r="F560" s="1"/>
      <c r="G560" s="15"/>
      <c r="H560" s="1"/>
      <c r="I560" s="20"/>
      <c r="J560" s="20"/>
      <c r="K560" s="14"/>
      <c r="L560" s="20"/>
      <c r="M560" s="14"/>
      <c r="N560" s="17"/>
      <c r="O560" s="17"/>
      <c r="P560" s="17"/>
      <c r="Q560" s="7"/>
    </row>
    <row r="561" spans="3:17" s="2" customFormat="1" ht="15.75" x14ac:dyDescent="0.25">
      <c r="C561" s="1"/>
      <c r="D561" s="1"/>
      <c r="E561" s="1"/>
      <c r="F561" s="1"/>
      <c r="G561" s="15"/>
      <c r="H561" s="1"/>
      <c r="I561" s="20"/>
      <c r="J561" s="20"/>
      <c r="K561" s="14"/>
      <c r="L561" s="20"/>
      <c r="M561" s="14"/>
      <c r="N561" s="17"/>
      <c r="O561" s="17"/>
      <c r="P561" s="17"/>
      <c r="Q561" s="7"/>
    </row>
    <row r="562" spans="3:17" s="2" customFormat="1" ht="15.75" x14ac:dyDescent="0.25">
      <c r="C562" s="1"/>
      <c r="D562" s="1"/>
      <c r="E562" s="1"/>
      <c r="F562" s="1"/>
      <c r="G562" s="15"/>
      <c r="H562" s="1"/>
      <c r="I562" s="20"/>
      <c r="J562" s="20"/>
      <c r="K562" s="14"/>
      <c r="L562" s="20"/>
      <c r="M562" s="14"/>
      <c r="N562" s="17"/>
      <c r="O562" s="17"/>
      <c r="P562" s="17"/>
      <c r="Q562" s="7"/>
    </row>
    <row r="563" spans="3:17" s="2" customFormat="1" ht="15.75" x14ac:dyDescent="0.25">
      <c r="C563" s="1"/>
      <c r="D563" s="1"/>
      <c r="E563" s="1"/>
      <c r="F563" s="1"/>
      <c r="G563" s="15"/>
      <c r="H563" s="1"/>
      <c r="I563" s="20"/>
      <c r="J563" s="20"/>
      <c r="K563" s="14"/>
      <c r="L563" s="20"/>
      <c r="M563" s="14"/>
      <c r="N563" s="17"/>
      <c r="O563" s="17"/>
      <c r="P563" s="17"/>
      <c r="Q563" s="7"/>
    </row>
    <row r="564" spans="3:17" s="2" customFormat="1" ht="15.75" x14ac:dyDescent="0.25">
      <c r="C564" s="1"/>
      <c r="D564" s="1"/>
      <c r="E564" s="1"/>
      <c r="F564" s="1"/>
      <c r="G564" s="15"/>
      <c r="H564" s="1"/>
      <c r="I564" s="20"/>
      <c r="J564" s="20"/>
      <c r="K564" s="14"/>
      <c r="L564" s="20"/>
      <c r="M564" s="14"/>
      <c r="N564" s="17"/>
      <c r="O564" s="17"/>
      <c r="P564" s="17"/>
      <c r="Q564" s="7"/>
    </row>
    <row r="565" spans="3:17" s="2" customFormat="1" ht="15.75" x14ac:dyDescent="0.25">
      <c r="C565" s="1"/>
      <c r="D565" s="1"/>
      <c r="E565" s="1"/>
      <c r="F565" s="1"/>
      <c r="G565" s="15"/>
      <c r="H565" s="1"/>
      <c r="I565" s="20"/>
      <c r="J565" s="20"/>
      <c r="K565" s="14"/>
      <c r="L565" s="20"/>
      <c r="M565" s="14"/>
      <c r="N565" s="17"/>
      <c r="O565" s="17"/>
      <c r="P565" s="17"/>
      <c r="Q565" s="7"/>
    </row>
    <row r="566" spans="3:17" s="2" customFormat="1" ht="15.75" x14ac:dyDescent="0.25">
      <c r="C566" s="1"/>
      <c r="D566" s="1"/>
      <c r="E566" s="1"/>
      <c r="F566" s="1"/>
      <c r="G566" s="15"/>
      <c r="H566" s="1"/>
      <c r="I566" s="20"/>
      <c r="J566" s="20"/>
      <c r="K566" s="14"/>
      <c r="L566" s="20"/>
      <c r="M566" s="14"/>
      <c r="N566" s="17"/>
      <c r="O566" s="17"/>
      <c r="P566" s="17"/>
      <c r="Q566" s="7"/>
    </row>
    <row r="567" spans="3:17" s="2" customFormat="1" ht="15.75" x14ac:dyDescent="0.25">
      <c r="C567" s="1"/>
      <c r="D567" s="1"/>
      <c r="E567" s="1"/>
      <c r="F567" s="1"/>
      <c r="G567" s="15"/>
      <c r="H567" s="1"/>
      <c r="I567" s="20"/>
      <c r="J567" s="20"/>
      <c r="K567" s="14"/>
      <c r="L567" s="20"/>
      <c r="M567" s="14"/>
      <c r="N567" s="17"/>
      <c r="O567" s="17"/>
      <c r="P567" s="17"/>
      <c r="Q567" s="7"/>
    </row>
    <row r="568" spans="3:17" s="2" customFormat="1" ht="15.75" x14ac:dyDescent="0.25">
      <c r="C568" s="1"/>
      <c r="D568" s="1"/>
      <c r="E568" s="1"/>
      <c r="F568" s="1"/>
      <c r="G568" s="15"/>
      <c r="H568" s="1"/>
      <c r="I568" s="20"/>
      <c r="J568" s="20"/>
      <c r="K568" s="14"/>
      <c r="L568" s="20"/>
      <c r="M568" s="14"/>
      <c r="N568" s="17"/>
      <c r="O568" s="17"/>
      <c r="P568" s="17"/>
      <c r="Q568" s="7"/>
    </row>
    <row r="569" spans="3:17" s="2" customFormat="1" ht="15.75" x14ac:dyDescent="0.25">
      <c r="C569" s="1"/>
      <c r="D569" s="1"/>
      <c r="E569" s="1"/>
      <c r="F569" s="1"/>
      <c r="G569" s="15"/>
      <c r="H569" s="1"/>
      <c r="I569" s="20"/>
      <c r="J569" s="20"/>
      <c r="K569" s="14"/>
      <c r="L569" s="20"/>
      <c r="M569" s="14"/>
      <c r="N569" s="17"/>
      <c r="O569" s="17"/>
      <c r="P569" s="17"/>
      <c r="Q569" s="7"/>
    </row>
    <row r="570" spans="3:17" s="2" customFormat="1" ht="15.75" x14ac:dyDescent="0.25">
      <c r="C570" s="1"/>
      <c r="D570" s="1"/>
      <c r="E570" s="1"/>
      <c r="F570" s="1"/>
      <c r="G570" s="15"/>
      <c r="H570" s="1"/>
      <c r="I570" s="20"/>
      <c r="J570" s="20"/>
      <c r="K570" s="14"/>
      <c r="L570" s="20"/>
      <c r="M570" s="14"/>
      <c r="N570" s="17"/>
      <c r="O570" s="17"/>
      <c r="P570" s="17"/>
      <c r="Q570" s="7"/>
    </row>
    <row r="571" spans="3:17" s="2" customFormat="1" ht="15.75" x14ac:dyDescent="0.25">
      <c r="C571" s="1"/>
      <c r="D571" s="1"/>
      <c r="E571" s="1"/>
      <c r="F571" s="1"/>
      <c r="G571" s="15"/>
      <c r="H571" s="1"/>
      <c r="I571" s="20"/>
      <c r="J571" s="20"/>
      <c r="K571" s="14"/>
      <c r="L571" s="20"/>
      <c r="M571" s="14"/>
      <c r="N571" s="17"/>
      <c r="O571" s="17"/>
      <c r="P571" s="17"/>
      <c r="Q571" s="7"/>
    </row>
    <row r="572" spans="3:17" s="2" customFormat="1" ht="15.75" x14ac:dyDescent="0.25">
      <c r="C572" s="1"/>
      <c r="D572" s="1"/>
      <c r="E572" s="1"/>
      <c r="F572" s="1"/>
      <c r="G572" s="15"/>
      <c r="H572" s="1"/>
      <c r="I572" s="20"/>
      <c r="J572" s="20"/>
      <c r="K572" s="14"/>
      <c r="L572" s="20"/>
      <c r="M572" s="14"/>
      <c r="N572" s="17"/>
      <c r="O572" s="17"/>
      <c r="P572" s="17"/>
      <c r="Q572" s="7"/>
    </row>
    <row r="573" spans="3:17" s="2" customFormat="1" ht="15.75" x14ac:dyDescent="0.25">
      <c r="C573" s="1"/>
      <c r="D573" s="1"/>
      <c r="E573" s="1"/>
      <c r="F573" s="1"/>
      <c r="G573" s="15"/>
      <c r="H573" s="1"/>
      <c r="I573" s="20"/>
      <c r="J573" s="20"/>
      <c r="K573" s="14"/>
      <c r="L573" s="20"/>
      <c r="M573" s="14"/>
      <c r="N573" s="17"/>
      <c r="O573" s="17"/>
      <c r="P573" s="17"/>
      <c r="Q573" s="7"/>
    </row>
    <row r="574" spans="3:17" s="2" customFormat="1" ht="15.75" x14ac:dyDescent="0.25">
      <c r="C574" s="1"/>
      <c r="D574" s="1"/>
      <c r="E574" s="1"/>
      <c r="F574" s="1"/>
      <c r="G574" s="15"/>
      <c r="H574" s="1"/>
      <c r="I574" s="20"/>
      <c r="J574" s="20"/>
      <c r="K574" s="14"/>
      <c r="L574" s="20"/>
      <c r="M574" s="14"/>
      <c r="N574" s="17"/>
      <c r="O574" s="17"/>
      <c r="P574" s="17"/>
      <c r="Q574" s="7"/>
    </row>
    <row r="575" spans="3:17" s="2" customFormat="1" ht="15.75" x14ac:dyDescent="0.25">
      <c r="C575" s="1"/>
      <c r="D575" s="1"/>
      <c r="E575" s="1"/>
      <c r="F575" s="1"/>
      <c r="G575" s="15"/>
      <c r="H575" s="1"/>
      <c r="I575" s="20"/>
      <c r="J575" s="20"/>
      <c r="K575" s="14"/>
      <c r="L575" s="20"/>
      <c r="M575" s="14"/>
      <c r="N575" s="17"/>
      <c r="O575" s="17"/>
      <c r="P575" s="17"/>
      <c r="Q575" s="7"/>
    </row>
    <row r="576" spans="3:17" s="2" customFormat="1" ht="15.75" x14ac:dyDescent="0.25">
      <c r="C576" s="1"/>
      <c r="D576" s="1"/>
      <c r="E576" s="1"/>
      <c r="F576" s="1"/>
      <c r="G576" s="15"/>
      <c r="H576" s="1"/>
      <c r="I576" s="20"/>
      <c r="J576" s="20"/>
      <c r="K576" s="14"/>
      <c r="L576" s="20"/>
      <c r="M576" s="14"/>
      <c r="N576" s="17"/>
      <c r="O576" s="17"/>
      <c r="P576" s="17"/>
      <c r="Q576" s="7"/>
    </row>
    <row r="577" spans="3:17" s="2" customFormat="1" ht="15.75" x14ac:dyDescent="0.25">
      <c r="C577" s="1"/>
      <c r="D577" s="1"/>
      <c r="E577" s="1"/>
      <c r="F577" s="1"/>
      <c r="G577" s="15"/>
      <c r="H577" s="1"/>
      <c r="I577" s="20"/>
      <c r="J577" s="20"/>
      <c r="K577" s="14"/>
      <c r="L577" s="20"/>
      <c r="M577" s="14"/>
      <c r="N577" s="17"/>
      <c r="O577" s="17"/>
      <c r="P577" s="17"/>
      <c r="Q577" s="7"/>
    </row>
    <row r="578" spans="3:17" s="2" customFormat="1" ht="15.75" x14ac:dyDescent="0.25">
      <c r="C578" s="1"/>
      <c r="D578" s="1"/>
      <c r="E578" s="1"/>
      <c r="F578" s="1"/>
      <c r="G578" s="15"/>
      <c r="H578" s="1"/>
      <c r="I578" s="20"/>
      <c r="J578" s="20"/>
      <c r="K578" s="14"/>
      <c r="L578" s="20"/>
      <c r="M578" s="14"/>
      <c r="N578" s="17"/>
      <c r="O578" s="17"/>
      <c r="P578" s="17"/>
      <c r="Q578" s="7"/>
    </row>
    <row r="579" spans="3:17" s="2" customFormat="1" ht="15.75" x14ac:dyDescent="0.25">
      <c r="C579" s="1"/>
      <c r="D579" s="1"/>
      <c r="E579" s="1"/>
      <c r="F579" s="1"/>
      <c r="G579" s="15"/>
      <c r="H579" s="1"/>
      <c r="I579" s="20"/>
      <c r="J579" s="20"/>
      <c r="K579" s="14"/>
      <c r="L579" s="20"/>
      <c r="M579" s="14"/>
      <c r="N579" s="17"/>
      <c r="O579" s="17"/>
      <c r="P579" s="17"/>
      <c r="Q579" s="7"/>
    </row>
    <row r="580" spans="3:17" s="2" customFormat="1" ht="15.75" x14ac:dyDescent="0.25">
      <c r="C580" s="1"/>
      <c r="D580" s="1"/>
      <c r="E580" s="1"/>
      <c r="F580" s="1"/>
      <c r="G580" s="15"/>
      <c r="H580" s="1"/>
      <c r="I580" s="20"/>
      <c r="J580" s="20"/>
      <c r="K580" s="14"/>
      <c r="L580" s="20"/>
      <c r="M580" s="14"/>
      <c r="N580" s="17"/>
      <c r="O580" s="17"/>
      <c r="P580" s="17"/>
      <c r="Q580" s="7"/>
    </row>
    <row r="581" spans="3:17" s="2" customFormat="1" ht="15.75" x14ac:dyDescent="0.25">
      <c r="C581" s="1"/>
      <c r="D581" s="1"/>
      <c r="E581" s="1"/>
      <c r="F581" s="1"/>
      <c r="G581" s="15"/>
      <c r="H581" s="1"/>
      <c r="I581" s="20"/>
      <c r="J581" s="20"/>
      <c r="K581" s="14"/>
      <c r="L581" s="20"/>
      <c r="M581" s="14"/>
      <c r="N581" s="17"/>
      <c r="O581" s="17"/>
      <c r="P581" s="17"/>
      <c r="Q581" s="7"/>
    </row>
    <row r="582" spans="3:17" s="2" customFormat="1" ht="15.75" x14ac:dyDescent="0.25">
      <c r="C582" s="1"/>
      <c r="D582" s="1"/>
      <c r="E582" s="1"/>
      <c r="F582" s="1"/>
      <c r="G582" s="15"/>
      <c r="H582" s="1"/>
      <c r="I582" s="20"/>
      <c r="J582" s="20"/>
      <c r="K582" s="14"/>
      <c r="L582" s="20"/>
      <c r="M582" s="14"/>
      <c r="N582" s="17"/>
      <c r="O582" s="17"/>
      <c r="P582" s="17"/>
      <c r="Q582" s="7"/>
    </row>
    <row r="583" spans="3:17" s="2" customFormat="1" ht="15.75" x14ac:dyDescent="0.25">
      <c r="C583" s="1"/>
      <c r="D583" s="1"/>
      <c r="E583" s="1"/>
      <c r="F583" s="1"/>
      <c r="G583" s="15"/>
      <c r="H583" s="1"/>
      <c r="I583" s="20"/>
      <c r="J583" s="20"/>
      <c r="K583" s="14"/>
      <c r="L583" s="20"/>
      <c r="M583" s="14"/>
      <c r="N583" s="17"/>
      <c r="O583" s="17"/>
      <c r="P583" s="17"/>
      <c r="Q583" s="7"/>
    </row>
    <row r="584" spans="3:17" s="2" customFormat="1" ht="15.75" x14ac:dyDescent="0.25">
      <c r="C584" s="1"/>
      <c r="D584" s="1"/>
      <c r="E584" s="1"/>
      <c r="F584" s="1"/>
      <c r="G584" s="15"/>
      <c r="H584" s="1"/>
      <c r="I584" s="20"/>
      <c r="J584" s="20"/>
      <c r="K584" s="14"/>
      <c r="L584" s="20"/>
      <c r="M584" s="14"/>
      <c r="N584" s="17"/>
      <c r="O584" s="17"/>
      <c r="P584" s="17"/>
      <c r="Q584" s="7"/>
    </row>
    <row r="585" spans="3:17" s="2" customFormat="1" ht="15.75" x14ac:dyDescent="0.25">
      <c r="C585" s="1"/>
      <c r="D585" s="1"/>
      <c r="E585" s="1"/>
      <c r="F585" s="1"/>
      <c r="G585" s="15"/>
      <c r="H585" s="1"/>
      <c r="I585" s="20"/>
      <c r="J585" s="20"/>
      <c r="K585" s="14"/>
      <c r="L585" s="20"/>
      <c r="M585" s="14"/>
      <c r="N585" s="17"/>
      <c r="O585" s="17"/>
      <c r="P585" s="17"/>
      <c r="Q585" s="7"/>
    </row>
    <row r="586" spans="3:17" s="2" customFormat="1" ht="15.75" x14ac:dyDescent="0.25">
      <c r="C586" s="1"/>
      <c r="D586" s="1"/>
      <c r="E586" s="1"/>
      <c r="F586" s="1"/>
      <c r="G586" s="15"/>
      <c r="H586" s="1"/>
      <c r="I586" s="20"/>
      <c r="J586" s="20"/>
      <c r="K586" s="14"/>
      <c r="L586" s="20"/>
      <c r="M586" s="14"/>
      <c r="N586" s="17"/>
      <c r="O586" s="17"/>
      <c r="P586" s="17"/>
      <c r="Q586" s="7"/>
    </row>
    <row r="587" spans="3:17" s="2" customFormat="1" ht="15.75" x14ac:dyDescent="0.25">
      <c r="C587" s="1"/>
      <c r="D587" s="1"/>
      <c r="E587" s="1"/>
      <c r="F587" s="1"/>
      <c r="G587" s="15"/>
      <c r="H587" s="1"/>
      <c r="I587" s="20"/>
      <c r="J587" s="20"/>
      <c r="K587" s="14"/>
      <c r="L587" s="20"/>
      <c r="M587" s="14"/>
      <c r="N587" s="17"/>
      <c r="O587" s="17"/>
      <c r="P587" s="17"/>
      <c r="Q587" s="7"/>
    </row>
    <row r="588" spans="3:17" s="2" customFormat="1" ht="15.75" x14ac:dyDescent="0.25">
      <c r="C588" s="1"/>
      <c r="D588" s="1"/>
      <c r="E588" s="1"/>
      <c r="F588" s="1"/>
      <c r="G588" s="15"/>
      <c r="H588" s="1"/>
      <c r="I588" s="20"/>
      <c r="J588" s="20"/>
      <c r="K588" s="14"/>
      <c r="L588" s="20"/>
      <c r="M588" s="14"/>
      <c r="N588" s="17"/>
      <c r="O588" s="17"/>
      <c r="P588" s="17"/>
      <c r="Q588" s="7"/>
    </row>
    <row r="589" spans="3:17" s="2" customFormat="1" ht="15.75" x14ac:dyDescent="0.25">
      <c r="C589" s="1"/>
      <c r="D589" s="1"/>
      <c r="E589" s="1"/>
      <c r="F589" s="1"/>
      <c r="G589" s="15"/>
      <c r="H589" s="1"/>
      <c r="I589" s="20"/>
      <c r="J589" s="20"/>
      <c r="K589" s="14"/>
      <c r="L589" s="20"/>
      <c r="M589" s="14"/>
      <c r="N589" s="17"/>
      <c r="O589" s="17"/>
      <c r="P589" s="17"/>
      <c r="Q589" s="7"/>
    </row>
    <row r="590" spans="3:17" s="2" customFormat="1" ht="15.75" x14ac:dyDescent="0.25">
      <c r="C590" s="1"/>
      <c r="D590" s="1"/>
      <c r="E590" s="1"/>
      <c r="F590" s="1"/>
      <c r="G590" s="15"/>
      <c r="H590" s="1"/>
      <c r="I590" s="20"/>
      <c r="J590" s="20"/>
      <c r="K590" s="14"/>
      <c r="L590" s="20"/>
      <c r="M590" s="14"/>
      <c r="N590" s="17"/>
      <c r="O590" s="17"/>
      <c r="P590" s="17"/>
      <c r="Q590" s="7"/>
    </row>
    <row r="591" spans="3:17" s="2" customFormat="1" ht="15.75" x14ac:dyDescent="0.25">
      <c r="C591" s="1"/>
      <c r="D591" s="1"/>
      <c r="E591" s="1"/>
      <c r="F591" s="1"/>
      <c r="G591" s="15"/>
      <c r="H591" s="1"/>
      <c r="I591" s="20"/>
      <c r="J591" s="20"/>
      <c r="K591" s="14"/>
      <c r="L591" s="20"/>
      <c r="M591" s="14"/>
      <c r="N591" s="17"/>
      <c r="O591" s="17"/>
      <c r="P591" s="17"/>
      <c r="Q591" s="7"/>
    </row>
    <row r="592" spans="3:17" s="2" customFormat="1" ht="15.75" x14ac:dyDescent="0.25">
      <c r="C592" s="1"/>
      <c r="D592" s="1"/>
      <c r="E592" s="1"/>
      <c r="F592" s="1"/>
      <c r="G592" s="15"/>
      <c r="H592" s="1"/>
      <c r="I592" s="20"/>
      <c r="J592" s="20"/>
      <c r="K592" s="14"/>
      <c r="L592" s="20"/>
      <c r="M592" s="14"/>
      <c r="N592" s="17"/>
      <c r="O592" s="17"/>
      <c r="P592" s="17"/>
      <c r="Q592" s="7"/>
    </row>
    <row r="593" spans="3:17" s="2" customFormat="1" ht="15.75" x14ac:dyDescent="0.25">
      <c r="C593" s="1"/>
      <c r="D593" s="1"/>
      <c r="E593" s="1"/>
      <c r="F593" s="1"/>
      <c r="G593" s="15"/>
      <c r="H593" s="1"/>
      <c r="I593" s="20"/>
      <c r="J593" s="20"/>
      <c r="K593" s="14"/>
      <c r="L593" s="20"/>
      <c r="M593" s="14"/>
      <c r="N593" s="17"/>
      <c r="O593" s="17"/>
      <c r="P593" s="17"/>
      <c r="Q593" s="7"/>
    </row>
    <row r="594" spans="3:17" s="2" customFormat="1" ht="15.75" x14ac:dyDescent="0.25">
      <c r="C594" s="1"/>
      <c r="D594" s="1"/>
      <c r="E594" s="1"/>
      <c r="F594" s="1"/>
      <c r="G594" s="15"/>
      <c r="H594" s="1"/>
      <c r="I594" s="20"/>
      <c r="J594" s="20"/>
      <c r="K594" s="14"/>
      <c r="L594" s="20"/>
      <c r="M594" s="14"/>
      <c r="N594" s="17"/>
      <c r="O594" s="17"/>
      <c r="P594" s="17"/>
      <c r="Q594" s="7"/>
    </row>
    <row r="595" spans="3:17" s="2" customFormat="1" ht="15.75" x14ac:dyDescent="0.25">
      <c r="C595" s="1"/>
      <c r="D595" s="1"/>
      <c r="E595" s="1"/>
      <c r="F595" s="1"/>
      <c r="G595" s="15"/>
      <c r="H595" s="1"/>
      <c r="I595" s="20"/>
      <c r="J595" s="20"/>
      <c r="K595" s="14"/>
      <c r="L595" s="20"/>
      <c r="M595" s="14"/>
      <c r="N595" s="17"/>
      <c r="O595" s="17"/>
      <c r="P595" s="17"/>
      <c r="Q595" s="7"/>
    </row>
    <row r="596" spans="3:17" s="2" customFormat="1" ht="15.75" x14ac:dyDescent="0.25">
      <c r="C596" s="1"/>
      <c r="D596" s="1"/>
      <c r="E596" s="1"/>
      <c r="F596" s="1"/>
      <c r="G596" s="15"/>
      <c r="H596" s="1"/>
      <c r="I596" s="20"/>
      <c r="J596" s="20"/>
      <c r="K596" s="14"/>
      <c r="L596" s="20"/>
      <c r="M596" s="14"/>
      <c r="N596" s="17"/>
      <c r="O596" s="17"/>
      <c r="P596" s="17"/>
      <c r="Q596" s="7"/>
    </row>
    <row r="597" spans="3:17" s="2" customFormat="1" ht="15.75" x14ac:dyDescent="0.25">
      <c r="C597" s="1"/>
      <c r="D597" s="1"/>
      <c r="E597" s="1"/>
      <c r="F597" s="1"/>
      <c r="G597" s="15"/>
      <c r="H597" s="1"/>
      <c r="I597" s="20"/>
      <c r="J597" s="20"/>
      <c r="K597" s="14"/>
      <c r="L597" s="20"/>
      <c r="M597" s="14"/>
      <c r="N597" s="17"/>
      <c r="O597" s="17"/>
      <c r="P597" s="17"/>
      <c r="Q597" s="7"/>
    </row>
    <row r="598" spans="3:17" s="2" customFormat="1" ht="15.75" x14ac:dyDescent="0.25">
      <c r="C598" s="1"/>
      <c r="D598" s="1"/>
      <c r="E598" s="1"/>
      <c r="F598" s="1"/>
      <c r="G598" s="15"/>
      <c r="H598" s="1"/>
      <c r="I598" s="20"/>
      <c r="J598" s="20"/>
      <c r="K598" s="14"/>
      <c r="L598" s="20"/>
      <c r="M598" s="14"/>
      <c r="N598" s="17"/>
      <c r="O598" s="17"/>
      <c r="P598" s="17"/>
      <c r="Q598" s="7"/>
    </row>
    <row r="599" spans="3:17" s="2" customFormat="1" ht="15.75" x14ac:dyDescent="0.25">
      <c r="C599" s="1"/>
      <c r="D599" s="1"/>
      <c r="E599" s="1"/>
      <c r="F599" s="1"/>
      <c r="G599" s="15"/>
      <c r="H599" s="1"/>
      <c r="I599" s="20"/>
      <c r="J599" s="20"/>
      <c r="K599" s="14"/>
      <c r="L599" s="20"/>
      <c r="M599" s="14"/>
      <c r="N599" s="17"/>
      <c r="O599" s="17"/>
      <c r="P599" s="17"/>
      <c r="Q599" s="7"/>
    </row>
    <row r="600" spans="3:17" s="2" customFormat="1" ht="15.75" x14ac:dyDescent="0.25">
      <c r="C600" s="1"/>
      <c r="D600" s="1"/>
      <c r="E600" s="1"/>
      <c r="F600" s="1"/>
      <c r="G600" s="15"/>
      <c r="H600" s="1"/>
      <c r="I600" s="20"/>
      <c r="J600" s="20"/>
      <c r="K600" s="14"/>
      <c r="L600" s="20"/>
      <c r="M600" s="14"/>
      <c r="N600" s="17"/>
      <c r="O600" s="17"/>
      <c r="P600" s="17"/>
      <c r="Q600" s="7"/>
    </row>
  </sheetData>
  <autoFilter ref="B4:Q277"/>
  <mergeCells count="2">
    <mergeCell ref="F1:M1"/>
    <mergeCell ref="G3:H3"/>
  </mergeCells>
  <conditionalFormatting sqref="N129:N135 N145:N1048576 N1:N118">
    <cfRule type="cellIs" dxfId="4" priority="7" operator="between">
      <formula>-0.001</formula>
      <formula>-999999999</formula>
    </cfRule>
  </conditionalFormatting>
  <conditionalFormatting sqref="N119:N128">
    <cfRule type="cellIs" dxfId="3" priority="5" operator="between">
      <formula>-0.001</formula>
      <formula>-999999999</formula>
    </cfRule>
  </conditionalFormatting>
  <conditionalFormatting sqref="N142:N144">
    <cfRule type="cellIs" dxfId="2" priority="4" operator="between">
      <formula>-0.001</formula>
      <formula>-999999999</formula>
    </cfRule>
  </conditionalFormatting>
  <conditionalFormatting sqref="N139:N141">
    <cfRule type="cellIs" dxfId="1" priority="3" operator="between">
      <formula>-0.001</formula>
      <formula>-999999999</formula>
    </cfRule>
  </conditionalFormatting>
  <conditionalFormatting sqref="N136:N138">
    <cfRule type="cellIs" dxfId="0" priority="2" operator="between">
      <formula>-0.001</formula>
      <formula>-999999999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73"/>
  <sheetViews>
    <sheetView showGridLines="0" workbookViewId="0">
      <selection activeCell="C31" sqref="C31"/>
    </sheetView>
  </sheetViews>
  <sheetFormatPr defaultRowHeight="15" x14ac:dyDescent="0.25"/>
  <cols>
    <col min="1" max="1" width="2.42578125" customWidth="1"/>
    <col min="2" max="2" width="14.7109375" style="15" customWidth="1"/>
    <col min="3" max="3" width="10.7109375" style="15" customWidth="1"/>
    <col min="4" max="4" width="16.7109375" style="1" customWidth="1"/>
    <col min="5" max="5" width="2.42578125" customWidth="1"/>
  </cols>
  <sheetData>
    <row r="1" spans="2:11" ht="15.75" thickBot="1" x14ac:dyDescent="0.3"/>
    <row r="2" spans="2:11" x14ac:dyDescent="0.25">
      <c r="B2" s="116" t="s">
        <v>67</v>
      </c>
      <c r="C2" s="116" t="s">
        <v>2</v>
      </c>
      <c r="D2" s="118" t="s">
        <v>68</v>
      </c>
    </row>
    <row r="3" spans="2:11" ht="15.75" customHeight="1" thickBot="1" x14ac:dyDescent="0.3">
      <c r="B3" s="117"/>
      <c r="C3" s="117"/>
      <c r="D3" s="119"/>
    </row>
    <row r="4" spans="2:11" x14ac:dyDescent="0.25">
      <c r="B4" s="120" t="s">
        <v>66</v>
      </c>
      <c r="C4" s="39" t="s">
        <v>16</v>
      </c>
      <c r="D4" s="36">
        <f>SUM(SUMIF('Raw Data'!H5:H500,{"B"}, 'Raw Data'!K5:K500))/SUM(COUNTIF('Raw Data'!H5:H500,{"B"}))</f>
        <v>0.43519270638948759</v>
      </c>
      <c r="K4" s="6">
        <f>SUM('Product Margin Analysis'!D4)</f>
        <v>0.43519270638948759</v>
      </c>
    </row>
    <row r="5" spans="2:11" ht="15.75" thickBot="1" x14ac:dyDescent="0.3">
      <c r="B5" s="121"/>
      <c r="C5" s="40" t="s">
        <v>18</v>
      </c>
      <c r="D5" s="38">
        <f>SUM(SUMIF('Raw Data'!H5:H500,{"K"}, 'Raw Data'!K5:K500))/SUM(COUNTIF('Raw Data'!H5:H500,{"K"}))</f>
        <v>0.50951000288474513</v>
      </c>
    </row>
    <row r="6" spans="2:11" x14ac:dyDescent="0.25">
      <c r="B6" s="122" t="s">
        <v>65</v>
      </c>
      <c r="C6" s="39" t="s">
        <v>30</v>
      </c>
      <c r="D6" s="36">
        <f>SUM(SUMIF('Raw Data'!H5:H500,{"FP","FP-LC","FP-IR","FP-VP","FP-OP"}, 'Raw Data'!K5:K500))/SUM(COUNTIF('Raw Data'!H5:H500,{"FP","FP-LC","FP-IR","FP-VP","FP-OP"}))</f>
        <v>0.57568418822720224</v>
      </c>
    </row>
    <row r="7" spans="2:11" x14ac:dyDescent="0.25">
      <c r="B7" s="123"/>
      <c r="C7" s="34" t="s">
        <v>14</v>
      </c>
      <c r="D7" s="37">
        <f>SUM(SUMIF('Raw Data'!H5:H500,{"IR","IR-LC","IR-FP","IR-VP","IR-OP","IR-Sky"}, 'Raw Data'!K5:K500))/SUM(COUNTIF('Raw Data'!H5:H500,{"IR","IR-LC","IR-FP","IR-VP","IR-OP","IR-Sky"}))</f>
        <v>0.53384936256777604</v>
      </c>
    </row>
    <row r="8" spans="2:11" x14ac:dyDescent="0.25">
      <c r="B8" s="123"/>
      <c r="C8" s="34" t="s">
        <v>19</v>
      </c>
      <c r="D8" s="37">
        <f>SUM(SUMIF('Raw Data'!H5:H500,{"LC","LC-IR","LC-FP","LC-VP","LC-OP","LC-Sky"}, 'Raw Data'!K5:K500))/SUM(COUNTIF('Raw Data'!H5:H500,{"LC","LC-IR","LC-FP","LC-VP","LC-OP","LC-Sky"}))</f>
        <v>0.54771954456181227</v>
      </c>
    </row>
    <row r="9" spans="2:11" x14ac:dyDescent="0.25">
      <c r="B9" s="123"/>
      <c r="C9" s="34" t="s">
        <v>21</v>
      </c>
      <c r="D9" s="37">
        <f>SUM(SUMIF('Raw Data'!H5:H500,{"OP","OP-IR","OP-FP","OP-VP","OP-LC"}, 'Raw Data'!K5:K500))/SUM(COUNTIF('Raw Data'!H5:H500,{"OP","OP-IR","OP-FP","OP-VP","OP-LC"}))</f>
        <v>0.53334363020684383</v>
      </c>
    </row>
    <row r="10" spans="2:11" ht="15.75" thickBot="1" x14ac:dyDescent="0.3">
      <c r="B10" s="124"/>
      <c r="C10" s="40" t="s">
        <v>24</v>
      </c>
      <c r="D10" s="38">
        <f>SUM(SUMIF('Raw Data'!H5:H500,{"VP","VP-IR","VP-FP","VP-OP","VP-LC"}, 'Raw Data'!K5:K500))/SUM(COUNTIF('Raw Data'!H5:H500,{"VP","VP-IR","VP-FP","VP-OP","VP-LC"}))</f>
        <v>0.56314678928700324</v>
      </c>
    </row>
    <row r="11" spans="2:11" x14ac:dyDescent="0.25">
      <c r="B11" s="125" t="s">
        <v>63</v>
      </c>
      <c r="C11" s="39" t="s">
        <v>59</v>
      </c>
      <c r="D11" s="36">
        <f>SUM(SUMIF('Raw Data'!H5:H500,{"SR-206","SR-206-Sky"}, 'Raw Data'!K5:K500))/SUM(COUNTIF('Raw Data'!H5:H500,{"SR-206","SR-206-Sky"}))</f>
        <v>0.57851548396110763</v>
      </c>
    </row>
    <row r="12" spans="2:11" x14ac:dyDescent="0.25">
      <c r="B12" s="126"/>
      <c r="C12" s="34" t="s">
        <v>58</v>
      </c>
      <c r="D12" s="37">
        <f>SUM(SUMIF('Raw Data'!H5:H500,{"SR-306","SR-306-Sky"}, 'Raw Data'!K5:K500))/SUM(COUNTIF('Raw Data'!H5:H500,{"SR-306","SR-306-Sky"}))</f>
        <v>0.60907914081125181</v>
      </c>
    </row>
    <row r="13" spans="2:11" x14ac:dyDescent="0.25">
      <c r="B13" s="126"/>
      <c r="C13" s="34" t="s">
        <v>60</v>
      </c>
      <c r="D13" s="37">
        <f>SUM(SUMIF('Raw Data'!H5:H500,{"SR-406","SR-406-Sky"}, 'Raw Data'!K5:K500))/SUM(COUNTIF('Raw Data'!H5:H500,{"SR-406","SR-406-Sky"}))</f>
        <v>0.55411680274687392</v>
      </c>
    </row>
    <row r="14" spans="2:11" x14ac:dyDescent="0.25">
      <c r="B14" s="126"/>
      <c r="C14" s="34" t="s">
        <v>57</v>
      </c>
      <c r="D14" s="37">
        <f>SUM(SUMIF('Raw Data'!H5:H500,{"SR-VV"}, 'Raw Data'!K5:K500))/SUM(COUNTIF('Raw Data'!H5:H500,{"SR-VV"}))</f>
        <v>0.57274222348108272</v>
      </c>
    </row>
    <row r="15" spans="2:11" ht="15.75" thickBot="1" x14ac:dyDescent="0.3">
      <c r="B15" s="127"/>
      <c r="C15" s="40" t="s">
        <v>61</v>
      </c>
      <c r="D15" s="37">
        <f>SUM(SUMIF('Raw Data'!H6:H501,{"SCR-WO"}, 'Raw Data'!K6:K501))/SUM(COUNTIF('Raw Data'!H6:H501,{"SCR-WO"}))</f>
        <v>0.61046832581556965</v>
      </c>
    </row>
    <row r="16" spans="2:11" x14ac:dyDescent="0.25">
      <c r="B16" s="111" t="s">
        <v>64</v>
      </c>
      <c r="C16" s="39" t="s">
        <v>223</v>
      </c>
      <c r="D16" s="37">
        <f>SUM(SUMIF('Raw Data'!H4:H499,{"D"}, 'Raw Data'!K4:K499))/SUM(COUNTIF('Raw Data'!H4:H499,{"D"}))</f>
        <v>0.46404345609238445</v>
      </c>
    </row>
    <row r="17" spans="2:4" x14ac:dyDescent="0.25">
      <c r="B17" s="112"/>
      <c r="C17" s="35" t="s">
        <v>13</v>
      </c>
      <c r="D17" s="37">
        <f>SUM(SUMIF('Raw Data'!H5:H500,{"W (A)"}, 'Raw Data'!K5:K500))/SUM(COUNTIF('Raw Data'!H5:H500,{"W (A)"}))</f>
        <v>0.49824812263088136</v>
      </c>
    </row>
    <row r="18" spans="2:4" ht="15.75" thickBot="1" x14ac:dyDescent="0.3">
      <c r="B18" s="113"/>
      <c r="C18" s="40" t="s">
        <v>20</v>
      </c>
      <c r="D18" s="41">
        <f>SUM(SUMIF('Raw Data'!H5:H500,{"W"}, 'Raw Data'!K5:K500))/SUM(COUNTIF('Raw Data'!H5:H500,{"W"}))</f>
        <v>0.40595721137071605</v>
      </c>
    </row>
    <row r="19" spans="2:4" ht="15.75" customHeight="1" thickBot="1" x14ac:dyDescent="0.3">
      <c r="B19" s="114" t="s">
        <v>62</v>
      </c>
      <c r="C19" s="115"/>
      <c r="D19" s="32">
        <f>'Raw Data'!$K$3</f>
        <v>0.51615971812194594</v>
      </c>
    </row>
    <row r="20" spans="2:4" ht="15.75" thickBot="1" x14ac:dyDescent="0.3"/>
    <row r="21" spans="2:4" ht="15" customHeight="1" x14ac:dyDescent="0.25">
      <c r="B21" s="136" t="s">
        <v>67</v>
      </c>
      <c r="C21" s="118"/>
      <c r="D21" s="116" t="s">
        <v>84</v>
      </c>
    </row>
    <row r="22" spans="2:4" ht="15.75" customHeight="1" thickBot="1" x14ac:dyDescent="0.3">
      <c r="B22" s="137"/>
      <c r="C22" s="119"/>
      <c r="D22" s="117"/>
    </row>
    <row r="23" spans="2:4" ht="15.75" thickBot="1" x14ac:dyDescent="0.3">
      <c r="B23" s="134" t="s">
        <v>387</v>
      </c>
      <c r="C23" s="135"/>
      <c r="D23" s="83">
        <f>D4</f>
        <v>0.43519270638948759</v>
      </c>
    </row>
    <row r="24" spans="2:4" ht="15.75" thickBot="1" x14ac:dyDescent="0.3">
      <c r="B24" s="134" t="s">
        <v>388</v>
      </c>
      <c r="C24" s="135"/>
      <c r="D24" s="83">
        <f>D5</f>
        <v>0.50951000288474513</v>
      </c>
    </row>
    <row r="25" spans="2:4" ht="15.75" thickBot="1" x14ac:dyDescent="0.3">
      <c r="B25" s="128" t="s">
        <v>65</v>
      </c>
      <c r="C25" s="129"/>
      <c r="D25" s="83">
        <f>AVERAGE(D6:D10)</f>
        <v>0.55074870297012757</v>
      </c>
    </row>
    <row r="26" spans="2:4" ht="15.75" thickBot="1" x14ac:dyDescent="0.3">
      <c r="B26" s="130" t="s">
        <v>63</v>
      </c>
      <c r="C26" s="131"/>
      <c r="D26" s="83">
        <f>AVERAGE(D11:D15)</f>
        <v>0.58498439536317715</v>
      </c>
    </row>
    <row r="27" spans="2:4" ht="15.75" thickBot="1" x14ac:dyDescent="0.3">
      <c r="B27" s="132" t="s">
        <v>64</v>
      </c>
      <c r="C27" s="133"/>
      <c r="D27" s="83">
        <f>AVERAGE(D16:D18)</f>
        <v>0.45608293003132722</v>
      </c>
    </row>
    <row r="28" spans="2:4" ht="16.5" thickBot="1" x14ac:dyDescent="0.3">
      <c r="B28" s="114" t="s">
        <v>62</v>
      </c>
      <c r="C28" s="115"/>
      <c r="D28" s="32">
        <f>'Raw Data'!$K$3</f>
        <v>0.51615971812194594</v>
      </c>
    </row>
    <row r="32" spans="2:4" x14ac:dyDescent="0.25">
      <c r="B32" s="76"/>
    </row>
    <row r="33" spans="2:28" x14ac:dyDescent="0.25">
      <c r="B33" s="76"/>
    </row>
    <row r="37" spans="2:28" ht="15.75" thickBot="1" x14ac:dyDescent="0.3"/>
    <row r="38" spans="2:28" x14ac:dyDescent="0.25">
      <c r="F38" s="8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1"/>
    </row>
    <row r="39" spans="2:28" x14ac:dyDescent="0.25">
      <c r="F39" s="81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4"/>
    </row>
    <row r="40" spans="2:28" x14ac:dyDescent="0.25">
      <c r="F40" s="81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4"/>
    </row>
    <row r="41" spans="2:28" x14ac:dyDescent="0.25">
      <c r="F41" s="81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4"/>
    </row>
    <row r="42" spans="2:28" x14ac:dyDescent="0.25">
      <c r="F42" s="81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4"/>
    </row>
    <row r="43" spans="2:28" x14ac:dyDescent="0.25">
      <c r="F43" s="81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4"/>
    </row>
    <row r="44" spans="2:28" x14ac:dyDescent="0.25">
      <c r="F44" s="81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4"/>
    </row>
    <row r="45" spans="2:28" x14ac:dyDescent="0.25">
      <c r="F45" s="81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4"/>
    </row>
    <row r="46" spans="2:28" x14ac:dyDescent="0.25">
      <c r="F46" s="81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4"/>
    </row>
    <row r="47" spans="2:28" x14ac:dyDescent="0.25">
      <c r="F47" s="81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4"/>
    </row>
    <row r="48" spans="2:28" x14ac:dyDescent="0.25">
      <c r="F48" s="81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4"/>
    </row>
    <row r="49" spans="6:28" x14ac:dyDescent="0.25">
      <c r="F49" s="81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4"/>
    </row>
    <row r="50" spans="6:28" x14ac:dyDescent="0.25">
      <c r="F50" s="81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4"/>
    </row>
    <row r="51" spans="6:28" x14ac:dyDescent="0.25">
      <c r="F51" s="81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4"/>
    </row>
    <row r="52" spans="6:28" x14ac:dyDescent="0.25">
      <c r="F52" s="81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4"/>
    </row>
    <row r="53" spans="6:28" x14ac:dyDescent="0.25">
      <c r="F53" s="81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4"/>
    </row>
    <row r="54" spans="6:28" x14ac:dyDescent="0.25">
      <c r="F54" s="81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4"/>
    </row>
    <row r="55" spans="6:28" x14ac:dyDescent="0.25">
      <c r="F55" s="81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4"/>
    </row>
    <row r="56" spans="6:28" x14ac:dyDescent="0.25">
      <c r="F56" s="81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4"/>
    </row>
    <row r="57" spans="6:28" x14ac:dyDescent="0.25">
      <c r="F57" s="81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4"/>
    </row>
    <row r="58" spans="6:28" x14ac:dyDescent="0.25">
      <c r="F58" s="81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4"/>
    </row>
    <row r="59" spans="6:28" x14ac:dyDescent="0.25">
      <c r="F59" s="81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4"/>
    </row>
    <row r="60" spans="6:28" x14ac:dyDescent="0.25">
      <c r="F60" s="81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4"/>
    </row>
    <row r="61" spans="6:28" x14ac:dyDescent="0.25">
      <c r="F61" s="81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4"/>
    </row>
    <row r="62" spans="6:28" x14ac:dyDescent="0.25">
      <c r="F62" s="81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4"/>
    </row>
    <row r="63" spans="6:28" x14ac:dyDescent="0.25">
      <c r="F63" s="81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4"/>
    </row>
    <row r="64" spans="6:28" x14ac:dyDescent="0.25">
      <c r="F64" s="81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4"/>
    </row>
    <row r="65" spans="6:28" x14ac:dyDescent="0.25">
      <c r="F65" s="81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4"/>
    </row>
    <row r="66" spans="6:28" x14ac:dyDescent="0.25">
      <c r="F66" s="81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4"/>
    </row>
    <row r="67" spans="6:28" x14ac:dyDescent="0.25">
      <c r="F67" s="81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4"/>
    </row>
    <row r="68" spans="6:28" x14ac:dyDescent="0.25">
      <c r="F68" s="81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4"/>
    </row>
    <row r="69" spans="6:28" x14ac:dyDescent="0.25">
      <c r="F69" s="81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4"/>
    </row>
    <row r="70" spans="6:28" x14ac:dyDescent="0.25">
      <c r="F70" s="81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4"/>
    </row>
    <row r="71" spans="6:28" x14ac:dyDescent="0.25">
      <c r="F71" s="81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4"/>
    </row>
    <row r="72" spans="6:28" x14ac:dyDescent="0.25">
      <c r="F72" s="81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4"/>
    </row>
    <row r="73" spans="6:28" ht="15.75" thickBot="1" x14ac:dyDescent="0.3">
      <c r="F73" s="82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9"/>
    </row>
  </sheetData>
  <mergeCells count="16">
    <mergeCell ref="B25:C25"/>
    <mergeCell ref="B26:C26"/>
    <mergeCell ref="B27:C27"/>
    <mergeCell ref="B28:C28"/>
    <mergeCell ref="D21:D22"/>
    <mergeCell ref="B23:C23"/>
    <mergeCell ref="B21:C22"/>
    <mergeCell ref="B24:C24"/>
    <mergeCell ref="B16:B18"/>
    <mergeCell ref="B19:C19"/>
    <mergeCell ref="B2:B3"/>
    <mergeCell ref="C2:C3"/>
    <mergeCell ref="D2:D3"/>
    <mergeCell ref="B4:B5"/>
    <mergeCell ref="B6:B10"/>
    <mergeCell ref="B11:B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"/>
  <sheetViews>
    <sheetView showGridLines="0" workbookViewId="0">
      <selection activeCell="D32" sqref="D32"/>
    </sheetView>
  </sheetViews>
  <sheetFormatPr defaultRowHeight="15" x14ac:dyDescent="0.25"/>
  <cols>
    <col min="1" max="1" width="2.42578125" customWidth="1"/>
    <col min="2" max="2" width="14.7109375" style="15" customWidth="1"/>
    <col min="3" max="3" width="10.7109375" style="15" customWidth="1"/>
    <col min="4" max="5" width="16.7109375" style="1" customWidth="1"/>
    <col min="6" max="6" width="2.42578125" customWidth="1"/>
  </cols>
  <sheetData>
    <row r="1" spans="1:12" ht="15.75" thickBot="1" x14ac:dyDescent="0.3"/>
    <row r="2" spans="1:12" x14ac:dyDescent="0.25">
      <c r="B2" s="116" t="s">
        <v>67</v>
      </c>
      <c r="C2" s="116" t="s">
        <v>2</v>
      </c>
      <c r="D2" s="118" t="s">
        <v>3</v>
      </c>
      <c r="E2" s="118" t="s">
        <v>69</v>
      </c>
    </row>
    <row r="3" spans="1:12" ht="15.75" customHeight="1" thickBot="1" x14ac:dyDescent="0.3">
      <c r="B3" s="117"/>
      <c r="C3" s="117"/>
      <c r="D3" s="119"/>
      <c r="E3" s="119"/>
    </row>
    <row r="4" spans="1:12" x14ac:dyDescent="0.25">
      <c r="A4" s="50"/>
      <c r="B4" s="120" t="s">
        <v>66</v>
      </c>
      <c r="C4" s="39" t="s">
        <v>16</v>
      </c>
      <c r="D4" s="42">
        <f>SUM(SUMIF('Raw Data'!$H$5:$H$500,{"B"}, 'Raw Data'!$I$5:$I$500))</f>
        <v>569616.25</v>
      </c>
      <c r="E4" s="42">
        <f>SUM(SUMIF('Raw Data'!$H$5:$H$500,{"B"}, 'Raw Data'!$I$5:$I$500))/SUM(COUNTIF('Raw Data'!$H$5:$H$500,{"B"}))</f>
        <v>8900.25390625</v>
      </c>
      <c r="L4" s="6">
        <f>SUM('Product Revenue Analysis'!D4)</f>
        <v>569616.25</v>
      </c>
    </row>
    <row r="5" spans="1:12" ht="15.75" thickBot="1" x14ac:dyDescent="0.3">
      <c r="A5" s="50"/>
      <c r="B5" s="121"/>
      <c r="C5" s="40" t="s">
        <v>18</v>
      </c>
      <c r="D5" s="45">
        <f>SUM(SUMIF('Raw Data'!$H$5:$H$500,{"K"}, 'Raw Data'!$I$5:$I$500))</f>
        <v>743003.24000000011</v>
      </c>
      <c r="E5" s="45">
        <f>SUM(SUMIF('Raw Data'!$H$5:$H$500,{"K"}, 'Raw Data'!$I$5:$I$500))/SUM(COUNTIF('Raw Data'!$H$5:$H$500,{"K"}))</f>
        <v>24766.774666666672</v>
      </c>
    </row>
    <row r="6" spans="1:12" x14ac:dyDescent="0.25">
      <c r="A6" s="50"/>
      <c r="B6" s="122" t="s">
        <v>65</v>
      </c>
      <c r="C6" s="39" t="s">
        <v>30</v>
      </c>
      <c r="D6" s="42">
        <f>SUM(SUMIF('Raw Data'!$H$5:$H$500,{"FP","FP-LC","FP-IR","FP-VP","FP-OP"}, 'Raw Data'!$I$5:$I$500))</f>
        <v>149051.66</v>
      </c>
      <c r="E6" s="42">
        <f>SUM(SUMIF('Raw Data'!$H$5:$H$500,{"FP","FP-LC","FP-IR","FP-VP","FP-OP"}, 'Raw Data'!$I$5:$I$500))/SUM(COUNTIF('Raw Data'!$H$5:$H$500,{"FP","FP-LC","FP-IR","FP-VP","FP-OP"}))</f>
        <v>8767.7447058823527</v>
      </c>
    </row>
    <row r="7" spans="1:12" x14ac:dyDescent="0.25">
      <c r="A7" s="50"/>
      <c r="B7" s="123"/>
      <c r="C7" s="34" t="s">
        <v>14</v>
      </c>
      <c r="D7" s="44">
        <f>SUM(SUMIF('Raw Data'!$H$5:$H$500,{"IR","IR-LC","IR-FP","IR-VP","IR-OP","IR-Sky"}, 'Raw Data'!$I$5:$I$500))</f>
        <v>315800.04000000004</v>
      </c>
      <c r="E7" s="44">
        <f>SUM(SUMIF('Raw Data'!$H$5:$H$500,{"IR","IR-LC","IR-FP","IR-VP","IR-OP","IR-Sky"}, 'Raw Data'!$I$5:$I$500))/SUM(COUNTIF('Raw Data'!$H$5:$H$500,{"IR","IR-LC","IR-FP","IR-VP","IR-OP","IR-Sky"}))</f>
        <v>12632.001600000001</v>
      </c>
    </row>
    <row r="8" spans="1:12" x14ac:dyDescent="0.25">
      <c r="A8" s="50"/>
      <c r="B8" s="123"/>
      <c r="C8" s="34" t="s">
        <v>19</v>
      </c>
      <c r="D8" s="44">
        <f>SUM(SUMIF('Raw Data'!$H$5:$H$500,{"LC","LC-IR","LC-FP","LC-VP","LC-OP","LC-Sky"}, 'Raw Data'!$I$5:$I$500))</f>
        <v>283415.77</v>
      </c>
      <c r="E8" s="45">
        <f>SUM(SUMIF('Raw Data'!$H$5:$H$500,{"LC","LC-IR","LC-FP","LC-VP","LC-OP","LC-Sky"}, 'Raw Data'!$I$5:$I$500))/SUM(COUNTIF('Raw Data'!$H$5:$H$500,{"LC","LC-IR","LC-FP","LC-VP","LC-OP","LC-Sky"}))</f>
        <v>9772.9575862068978</v>
      </c>
    </row>
    <row r="9" spans="1:12" x14ac:dyDescent="0.25">
      <c r="A9" s="50"/>
      <c r="B9" s="123"/>
      <c r="C9" s="34" t="s">
        <v>21</v>
      </c>
      <c r="D9" s="44">
        <f>SUM(SUMIF('Raw Data'!$H$5:$H$500,{"OP","OP-IR"}, 'Raw Data'!$I$5:$I$500))</f>
        <v>105199.54000000001</v>
      </c>
      <c r="E9" s="44">
        <f>SUM(SUMIF('Raw Data'!$H$5:$H$500,{"OP","OP-IR"}, 'Raw Data'!$I$5:$I$500))/SUM(COUNTIF('Raw Data'!$H$5:$H$500,{"OP","OP-IR"}))</f>
        <v>21039.908000000003</v>
      </c>
    </row>
    <row r="10" spans="1:12" ht="15.75" thickBot="1" x14ac:dyDescent="0.3">
      <c r="A10" s="50"/>
      <c r="B10" s="124"/>
      <c r="C10" s="40" t="s">
        <v>24</v>
      </c>
      <c r="D10" s="45">
        <f>SUM(SUMIF('Raw Data'!$H$5:$H$500,{"VP","VP-IR","VP-FP","VP-OP","VP-LC"}, 'Raw Data'!$I$5:$I$500))</f>
        <v>31659.100000000002</v>
      </c>
      <c r="E10" s="43">
        <f>SUM(SUMIF('Raw Data'!$H$5:$H$500,{"VP","VP-IR","VP-FP","VP-OP","VP-LC"}, 'Raw Data'!$I$5:$I$500))/SUM(COUNTIF('Raw Data'!$H$5:$H$500,{"VP","VP-IR","VP-FP","VP-OP","VP-LC"}))</f>
        <v>6331.8200000000006</v>
      </c>
    </row>
    <row r="11" spans="1:12" x14ac:dyDescent="0.25">
      <c r="A11" s="50"/>
      <c r="B11" s="125" t="s">
        <v>63</v>
      </c>
      <c r="C11" s="39" t="s">
        <v>59</v>
      </c>
      <c r="D11" s="42">
        <f>SUM(SUMIF('Raw Data'!$H$5:$H$500,{"SR-206","SR-206-Sky"}, 'Raw Data'!$I$5:$I$500))</f>
        <v>47092.69</v>
      </c>
      <c r="E11" s="42">
        <f>SUM(SUMIF('Raw Data'!$H$5:$H$500,{"SR-206","SR-206-Sky"}, 'Raw Data'!$I$5:$I$500))/SUM(COUNTIF('Raw Data'!$H$5:$H$500,{"SR-206","SR-206-Sky"}))</f>
        <v>15697.563333333334</v>
      </c>
    </row>
    <row r="12" spans="1:12" x14ac:dyDescent="0.25">
      <c r="A12" s="50"/>
      <c r="B12" s="126"/>
      <c r="C12" s="34" t="s">
        <v>58</v>
      </c>
      <c r="D12" s="44">
        <f>SUM(SUMIF('Raw Data'!$H$5:$H$500,{"SR-306","SR-306-Sky"}, 'Raw Data'!$I$5:$I$500))</f>
        <v>244038.74000000002</v>
      </c>
      <c r="E12" s="44">
        <f>SUM(SUMIF('Raw Data'!$H$5:$H$500,{"SR-306","SR-306-Sky"}, 'Raw Data'!$I$5:$I$500))/SUM(COUNTIF('Raw Data'!$H$5:$H$500,{"SR-306","SR-306-Sky"}))</f>
        <v>34862.677142857145</v>
      </c>
    </row>
    <row r="13" spans="1:12" x14ac:dyDescent="0.25">
      <c r="A13" s="50"/>
      <c r="B13" s="126"/>
      <c r="C13" s="34" t="s">
        <v>60</v>
      </c>
      <c r="D13" s="44">
        <f>SUM(SUMIF('Raw Data'!$H$5:$H$500,{"SR-406","SR-406-Sky"}, 'Raw Data'!$I$5:$I$500))</f>
        <v>66303.210000000006</v>
      </c>
      <c r="E13" s="44">
        <f>SUM(SUMIF('Raw Data'!$H$5:$H$500,{"SR-406","SR-406-Sky"}, 'Raw Data'!$I$5:$I$500))/SUM(COUNTIF('Raw Data'!$H$5:$H$500,{"SR-406","SR-406-Sky"}))</f>
        <v>33151.605000000003</v>
      </c>
    </row>
    <row r="14" spans="1:12" x14ac:dyDescent="0.25">
      <c r="A14" s="50"/>
      <c r="B14" s="126"/>
      <c r="C14" s="34" t="s">
        <v>57</v>
      </c>
      <c r="D14" s="44">
        <f>SUM(SUMIF('Raw Data'!$H$5:$H$500,{"SR-VV"}, 'Raw Data'!$I$5:$I$500))</f>
        <v>203740.71999999997</v>
      </c>
      <c r="E14" s="44">
        <f>SUM(SUMIF('Raw Data'!$H$5:$H$500,{"SR-VV"}, 'Raw Data'!$I$5:$I$500))/SUM(COUNTIF('Raw Data'!$H$5:$H$500,{"SR-VV"}))</f>
        <v>29105.81714285714</v>
      </c>
    </row>
    <row r="15" spans="1:12" ht="15.75" thickBot="1" x14ac:dyDescent="0.3">
      <c r="B15" s="127"/>
      <c r="C15" s="40" t="s">
        <v>61</v>
      </c>
      <c r="D15" s="45">
        <f>SUM(SUMIF('Raw Data'!$H$5:$H$500,{"SCR-WO"}, 'Raw Data'!$I$5:$I$500))</f>
        <v>11448.44</v>
      </c>
      <c r="E15" s="44">
        <f>SUM(SUMIF('Raw Data'!$H$5:$H$500,{"SCR-WO"}, 'Raw Data'!$I$5:$I$500))/SUM(COUNTIF('Raw Data'!$H$5:$H$500,{"SCR-WO"}))</f>
        <v>11448.44</v>
      </c>
    </row>
    <row r="16" spans="1:12" x14ac:dyDescent="0.25">
      <c r="B16" s="111" t="s">
        <v>64</v>
      </c>
      <c r="C16" s="39" t="s">
        <v>223</v>
      </c>
      <c r="D16" s="42">
        <f>SUM(SUMIF('Raw Data'!$H$5:$H$500,{"D"}, 'Raw Data'!$I$5:$I$500))</f>
        <v>15043.26</v>
      </c>
      <c r="E16" s="44">
        <f>SUM(SUMIF('Raw Data'!$H$5:$H$500,{"D"}, 'Raw Data'!$I$5:$I$500))/SUM(COUNTIF('Raw Data'!$H$5:$H$500,{"D"}))</f>
        <v>7521.63</v>
      </c>
    </row>
    <row r="17" spans="2:5" x14ac:dyDescent="0.25">
      <c r="B17" s="112"/>
      <c r="C17" s="35" t="s">
        <v>13</v>
      </c>
      <c r="D17" s="44">
        <f>SUM(SUMIF('Raw Data'!$H$5:$H$500,{"W (A)"}, 'Raw Data'!$I$5:$I$500))</f>
        <v>217975.24</v>
      </c>
      <c r="E17" s="44">
        <f>SUM(SUMIF('Raw Data'!$H$5:$H$500,{"W (A)"}, 'Raw Data'!$I$5:$I$500))/SUM(COUNTIF('Raw Data'!$H$5:$H$500,{"W (A)"}))</f>
        <v>8383.663076923076</v>
      </c>
    </row>
    <row r="18" spans="2:5" ht="15.75" thickBot="1" x14ac:dyDescent="0.3">
      <c r="B18" s="113"/>
      <c r="C18" s="40" t="s">
        <v>20</v>
      </c>
      <c r="D18" s="45">
        <f>SUM(SUMIF('Raw Data'!$H$5:$H$500,{"W"}, 'Raw Data'!$I$5:$I$500))</f>
        <v>202817.34</v>
      </c>
      <c r="E18" s="44">
        <f>SUM(SUMIF('Raw Data'!$H$5:$H$500,{"W"}, 'Raw Data'!$I$5:$I$500))/SUM(COUNTIF('Raw Data'!$H$5:$H$500,{"W"}))</f>
        <v>14486.952857142856</v>
      </c>
    </row>
    <row r="19" spans="2:5" ht="15.75" customHeight="1" thickBot="1" x14ac:dyDescent="0.3">
      <c r="B19" s="114" t="s">
        <v>62</v>
      </c>
      <c r="C19" s="115"/>
      <c r="D19" s="49">
        <f>SUM(D4:D18)</f>
        <v>3206205.2399999993</v>
      </c>
      <c r="E19" s="49">
        <f>AVERAGE(E4:E18)</f>
        <v>16457.987267874636</v>
      </c>
    </row>
    <row r="20" spans="2:5" ht="15.75" thickBot="1" x14ac:dyDescent="0.3"/>
    <row r="21" spans="2:5" ht="15" customHeight="1" x14ac:dyDescent="0.25">
      <c r="B21" s="136" t="s">
        <v>83</v>
      </c>
      <c r="C21" s="118"/>
      <c r="D21" s="118" t="s">
        <v>3</v>
      </c>
      <c r="E21" s="118" t="s">
        <v>69</v>
      </c>
    </row>
    <row r="22" spans="2:5" ht="15.75" customHeight="1" thickBot="1" x14ac:dyDescent="0.3">
      <c r="B22" s="137"/>
      <c r="C22" s="119"/>
      <c r="D22" s="119"/>
      <c r="E22" s="119"/>
    </row>
    <row r="23" spans="2:5" ht="15.75" thickBot="1" x14ac:dyDescent="0.3">
      <c r="B23" s="134" t="s">
        <v>387</v>
      </c>
      <c r="C23" s="139"/>
      <c r="D23" s="79">
        <f>D4</f>
        <v>569616.25</v>
      </c>
      <c r="E23" s="79">
        <f>E4</f>
        <v>8900.25390625</v>
      </c>
    </row>
    <row r="24" spans="2:5" ht="15.75" thickBot="1" x14ac:dyDescent="0.3">
      <c r="B24" s="134" t="s">
        <v>388</v>
      </c>
      <c r="C24" s="139"/>
      <c r="D24" s="79">
        <f>D5</f>
        <v>743003.24000000011</v>
      </c>
      <c r="E24" s="79">
        <f>E5</f>
        <v>24766.774666666672</v>
      </c>
    </row>
    <row r="25" spans="2:5" ht="15.75" thickBot="1" x14ac:dyDescent="0.3">
      <c r="B25" s="140" t="s">
        <v>65</v>
      </c>
      <c r="C25" s="141"/>
      <c r="D25" s="45">
        <f>SUM(D6:D10)</f>
        <v>885126.1100000001</v>
      </c>
      <c r="E25" s="45">
        <f>AVERAGE(E6:E10)</f>
        <v>11708.88637841785</v>
      </c>
    </row>
    <row r="26" spans="2:5" ht="15.75" thickBot="1" x14ac:dyDescent="0.3">
      <c r="B26" s="130" t="s">
        <v>63</v>
      </c>
      <c r="C26" s="142"/>
      <c r="D26" s="79">
        <f>SUM(D11:D15)</f>
        <v>572623.80000000005</v>
      </c>
      <c r="E26" s="79">
        <f>AVERAGE(E11:E15)</f>
        <v>24853.220523809523</v>
      </c>
    </row>
    <row r="27" spans="2:5" ht="15.75" thickBot="1" x14ac:dyDescent="0.3">
      <c r="B27" s="132" t="s">
        <v>64</v>
      </c>
      <c r="C27" s="143"/>
      <c r="D27" s="79">
        <f>SUM(D16:D18)</f>
        <v>435835.83999999997</v>
      </c>
      <c r="E27" s="79">
        <f>AVERAGE(E16:E18)</f>
        <v>10130.748644688645</v>
      </c>
    </row>
    <row r="28" spans="2:5" x14ac:dyDescent="0.25">
      <c r="B28" s="76"/>
      <c r="C28" s="77"/>
      <c r="D28" s="73"/>
      <c r="E28" s="73"/>
    </row>
    <row r="32" spans="2:5" x14ac:dyDescent="0.25">
      <c r="B32" s="76"/>
      <c r="C32" s="77"/>
      <c r="D32" s="73"/>
      <c r="E32" s="73"/>
    </row>
    <row r="33" spans="2:5" x14ac:dyDescent="0.25">
      <c r="B33" s="76"/>
      <c r="C33" s="77"/>
      <c r="D33" s="73"/>
      <c r="E33" s="73"/>
    </row>
    <row r="34" spans="2:5" x14ac:dyDescent="0.25">
      <c r="B34" s="76"/>
      <c r="C34" s="77"/>
      <c r="D34" s="73"/>
      <c r="E34" s="73"/>
    </row>
    <row r="35" spans="2:5" x14ac:dyDescent="0.25">
      <c r="B35" s="76"/>
      <c r="C35" s="77"/>
      <c r="D35" s="73"/>
      <c r="E35" s="73"/>
    </row>
    <row r="36" spans="2:5" x14ac:dyDescent="0.25">
      <c r="B36" s="76"/>
      <c r="C36" s="77"/>
      <c r="D36" s="73"/>
      <c r="E36" s="73"/>
    </row>
    <row r="37" spans="2:5" x14ac:dyDescent="0.25">
      <c r="B37" s="76"/>
      <c r="C37" s="77"/>
      <c r="D37" s="73"/>
      <c r="E37" s="73"/>
    </row>
    <row r="38" spans="2:5" ht="15.75" x14ac:dyDescent="0.25">
      <c r="B38" s="138"/>
      <c r="C38" s="138"/>
      <c r="D38" s="78"/>
      <c r="E38" s="78"/>
    </row>
    <row r="39" spans="2:5" x14ac:dyDescent="0.25">
      <c r="C39" s="47"/>
      <c r="D39" s="48"/>
      <c r="E39" s="48"/>
    </row>
    <row r="40" spans="2:5" x14ac:dyDescent="0.25">
      <c r="C40" s="47"/>
      <c r="D40" s="48"/>
      <c r="E40" s="48"/>
    </row>
    <row r="74" spans="7:28" ht="15.75" thickBot="1" x14ac:dyDescent="0.3"/>
    <row r="75" spans="7:28" x14ac:dyDescent="0.25">
      <c r="G75" s="8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1"/>
    </row>
    <row r="76" spans="7:28" x14ac:dyDescent="0.25">
      <c r="G76" s="81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4"/>
    </row>
    <row r="77" spans="7:28" x14ac:dyDescent="0.25">
      <c r="G77" s="81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4"/>
    </row>
    <row r="78" spans="7:28" x14ac:dyDescent="0.25">
      <c r="G78" s="81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4"/>
    </row>
    <row r="79" spans="7:28" x14ac:dyDescent="0.25">
      <c r="G79" s="81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4"/>
    </row>
    <row r="80" spans="7:28" x14ac:dyDescent="0.25">
      <c r="G80" s="81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4"/>
    </row>
    <row r="81" spans="7:28" x14ac:dyDescent="0.25">
      <c r="G81" s="81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4"/>
    </row>
    <row r="82" spans="7:28" x14ac:dyDescent="0.25">
      <c r="G82" s="81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4"/>
    </row>
    <row r="83" spans="7:28" x14ac:dyDescent="0.25">
      <c r="G83" s="81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4"/>
    </row>
    <row r="84" spans="7:28" x14ac:dyDescent="0.25">
      <c r="G84" s="81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4"/>
    </row>
    <row r="85" spans="7:28" x14ac:dyDescent="0.25">
      <c r="G85" s="81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4"/>
    </row>
    <row r="86" spans="7:28" x14ac:dyDescent="0.25">
      <c r="G86" s="81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4"/>
    </row>
    <row r="87" spans="7:28" x14ac:dyDescent="0.25">
      <c r="G87" s="81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4"/>
    </row>
    <row r="88" spans="7:28" x14ac:dyDescent="0.25">
      <c r="G88" s="81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4"/>
    </row>
    <row r="89" spans="7:28" x14ac:dyDescent="0.25">
      <c r="G89" s="81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4"/>
    </row>
    <row r="90" spans="7:28" x14ac:dyDescent="0.25">
      <c r="G90" s="81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4"/>
    </row>
    <row r="91" spans="7:28" x14ac:dyDescent="0.25">
      <c r="G91" s="81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4"/>
    </row>
    <row r="92" spans="7:28" x14ac:dyDescent="0.25">
      <c r="G92" s="81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4"/>
    </row>
    <row r="93" spans="7:28" x14ac:dyDescent="0.25">
      <c r="G93" s="81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4"/>
    </row>
    <row r="94" spans="7:28" x14ac:dyDescent="0.25">
      <c r="G94" s="81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4"/>
    </row>
    <row r="95" spans="7:28" x14ac:dyDescent="0.25">
      <c r="G95" s="81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4"/>
    </row>
    <row r="96" spans="7:28" x14ac:dyDescent="0.25">
      <c r="G96" s="81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4"/>
    </row>
    <row r="97" spans="7:28" x14ac:dyDescent="0.25">
      <c r="G97" s="81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4"/>
    </row>
    <row r="98" spans="7:28" x14ac:dyDescent="0.25">
      <c r="G98" s="81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4"/>
    </row>
    <row r="99" spans="7:28" x14ac:dyDescent="0.25">
      <c r="G99" s="81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4"/>
    </row>
    <row r="100" spans="7:28" x14ac:dyDescent="0.25">
      <c r="G100" s="81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4"/>
    </row>
    <row r="101" spans="7:28" x14ac:dyDescent="0.25">
      <c r="G101" s="81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4"/>
    </row>
    <row r="102" spans="7:28" x14ac:dyDescent="0.25">
      <c r="G102" s="81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4"/>
    </row>
    <row r="103" spans="7:28" x14ac:dyDescent="0.25">
      <c r="G103" s="81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4"/>
    </row>
    <row r="104" spans="7:28" x14ac:dyDescent="0.25">
      <c r="G104" s="81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4"/>
    </row>
    <row r="105" spans="7:28" x14ac:dyDescent="0.25">
      <c r="G105" s="81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4"/>
    </row>
    <row r="106" spans="7:28" x14ac:dyDescent="0.25">
      <c r="G106" s="81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4"/>
    </row>
    <row r="107" spans="7:28" x14ac:dyDescent="0.25">
      <c r="G107" s="81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4"/>
    </row>
    <row r="108" spans="7:28" x14ac:dyDescent="0.25">
      <c r="G108" s="81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4"/>
    </row>
    <row r="109" spans="7:28" x14ac:dyDescent="0.25">
      <c r="G109" s="81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4"/>
    </row>
    <row r="110" spans="7:28" ht="15.75" thickBot="1" x14ac:dyDescent="0.3">
      <c r="G110" s="82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9"/>
    </row>
  </sheetData>
  <mergeCells count="18">
    <mergeCell ref="B38:C38"/>
    <mergeCell ref="B23:C23"/>
    <mergeCell ref="B25:C25"/>
    <mergeCell ref="B26:C26"/>
    <mergeCell ref="B27:C27"/>
    <mergeCell ref="B24:C24"/>
    <mergeCell ref="D21:D22"/>
    <mergeCell ref="E21:E22"/>
    <mergeCell ref="B21:C22"/>
    <mergeCell ref="B16:B18"/>
    <mergeCell ref="B19:C19"/>
    <mergeCell ref="B6:B10"/>
    <mergeCell ref="B11:B15"/>
    <mergeCell ref="E2:E3"/>
    <mergeCell ref="B2:B3"/>
    <mergeCell ref="C2:C3"/>
    <mergeCell ref="D2:D3"/>
    <mergeCell ref="B4:B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showGridLines="0" workbookViewId="0">
      <selection activeCell="C46" sqref="C46"/>
    </sheetView>
  </sheetViews>
  <sheetFormatPr defaultRowHeight="15" x14ac:dyDescent="0.25"/>
  <cols>
    <col min="1" max="1" width="2.42578125" customWidth="1"/>
    <col min="2" max="2" width="14.7109375" style="15" customWidth="1"/>
    <col min="3" max="3" width="12.7109375" style="15" customWidth="1"/>
    <col min="4" max="4" width="10.7109375" style="1" customWidth="1"/>
    <col min="5" max="5" width="10.7109375" style="100" customWidth="1"/>
    <col min="6" max="6" width="2.42578125" customWidth="1"/>
  </cols>
  <sheetData>
    <row r="1" spans="1:29" ht="15.75" thickBot="1" x14ac:dyDescent="0.3"/>
    <row r="2" spans="1:29" ht="15" customHeight="1" x14ac:dyDescent="0.25">
      <c r="B2" s="116" t="s">
        <v>67</v>
      </c>
      <c r="C2" s="116" t="s">
        <v>8</v>
      </c>
      <c r="D2" s="118" t="s">
        <v>23</v>
      </c>
      <c r="E2" s="144" t="s">
        <v>389</v>
      </c>
      <c r="G2" s="8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1"/>
    </row>
    <row r="3" spans="1:29" ht="15.75" customHeight="1" thickBot="1" x14ac:dyDescent="0.3">
      <c r="B3" s="148"/>
      <c r="C3" s="117"/>
      <c r="D3" s="119"/>
      <c r="E3" s="145"/>
      <c r="G3" s="81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4"/>
    </row>
    <row r="4" spans="1:29" x14ac:dyDescent="0.25">
      <c r="A4" s="50"/>
      <c r="B4" s="120" t="s">
        <v>66</v>
      </c>
      <c r="C4" s="39" t="s">
        <v>70</v>
      </c>
      <c r="D4" s="51" t="e">
        <f>SUM(SUMIF('Raw Data'!$E$5:$E$500,$C4, 'Raw Data'!$K$5:$K$500))/SUM(COUNTIF('Raw Data'!$E$5:$E$500,$C4))</f>
        <v>#DIV/0!</v>
      </c>
      <c r="E4" s="55">
        <f>SUM(COUNTIF('Raw Data'!$E$5:$E$500,$C4))</f>
        <v>0</v>
      </c>
      <c r="G4" s="81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4"/>
    </row>
    <row r="5" spans="1:29" x14ac:dyDescent="0.25">
      <c r="A5" s="50"/>
      <c r="B5" s="149"/>
      <c r="C5" s="34" t="s">
        <v>17</v>
      </c>
      <c r="D5" s="53" t="e">
        <f>SUM(SUMIF('Raw Data'!$E$5:$E$500,$C5, 'Raw Data'!$K$5:$K$500))/SUM(COUNTIF('Raw Data'!$E$5:$E$500,$C5))</f>
        <v>#DIV/0!</v>
      </c>
      <c r="E5" s="56">
        <f>SUM(COUNTIF('Raw Data'!$E$5:$E$500,$C5))</f>
        <v>0</v>
      </c>
      <c r="G5" s="81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4"/>
    </row>
    <row r="6" spans="1:29" x14ac:dyDescent="0.25">
      <c r="A6" s="50"/>
      <c r="B6" s="149"/>
      <c r="C6" s="34" t="s">
        <v>130</v>
      </c>
      <c r="D6" s="53">
        <f>SUM(SUMIF('Raw Data'!$E$5:$E$500,$C6, 'Raw Data'!$K$5:$K$500))/SUM(COUNTIF('Raw Data'!$E$5:$E$500,$C6))</f>
        <v>0.50484803198079808</v>
      </c>
      <c r="E6" s="56">
        <f>SUM(COUNTIF('Raw Data'!$E$5:$E$500,$C6))</f>
        <v>1</v>
      </c>
      <c r="G6" s="81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4"/>
    </row>
    <row r="7" spans="1:29" x14ac:dyDescent="0.25">
      <c r="A7" s="50"/>
      <c r="B7" s="149"/>
      <c r="C7" s="34" t="s">
        <v>154</v>
      </c>
      <c r="D7" s="53">
        <f>SUM(SUMIF('Raw Data'!$E$5:$E$500,$C7, 'Raw Data'!$K$5:$K$500))/SUM(COUNTIF('Raw Data'!$E$5:$E$500,$C7))</f>
        <v>0.54821287306724198</v>
      </c>
      <c r="E7" s="56">
        <f>SUM(COUNTIF('Raw Data'!$E$5:$E$500,$C7))</f>
        <v>1</v>
      </c>
      <c r="G7" s="81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4"/>
    </row>
    <row r="8" spans="1:29" x14ac:dyDescent="0.25">
      <c r="B8" s="149"/>
      <c r="C8" s="33" t="s">
        <v>125</v>
      </c>
      <c r="D8" s="53" t="e">
        <f>SUM(SUMIF('Raw Data'!$E$5:$E$500,$C8, 'Raw Data'!$K$5:$K$500))/SUM(COUNTIF('Raw Data'!$E$5:$E$500,$C8))</f>
        <v>#DIV/0!</v>
      </c>
      <c r="E8" s="56">
        <f>SUM(COUNTIF('Raw Data'!$E$5:$E$500,$C8))</f>
        <v>0</v>
      </c>
      <c r="G8" s="81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</row>
    <row r="9" spans="1:29" x14ac:dyDescent="0.25">
      <c r="B9" s="149"/>
      <c r="C9" s="34" t="s">
        <v>384</v>
      </c>
      <c r="D9" s="53">
        <f>SUM(SUMIF('Raw Data'!$E$5:$E$500,$C9, 'Raw Data'!$K$5:$K$500))/SUM(COUNTIF('Raw Data'!$E$5:$E$500,$C9))</f>
        <v>0.63195346961717525</v>
      </c>
      <c r="E9" s="56">
        <f>SUM(COUNTIF('Raw Data'!$E$5:$E$500,$C9))</f>
        <v>1</v>
      </c>
      <c r="G9" s="81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</row>
    <row r="10" spans="1:29" ht="15.75" thickBot="1" x14ac:dyDescent="0.3">
      <c r="B10" s="121"/>
      <c r="C10" s="40" t="s">
        <v>344</v>
      </c>
      <c r="D10" s="97">
        <f>SUM(SUMIF('Raw Data'!$E$5:$E$500,$C10, 'Raw Data'!$K$5:$K$500))/SUM(COUNTIF('Raw Data'!$E$5:$E$500,$C10))</f>
        <v>0.37076742979039384</v>
      </c>
      <c r="E10" s="103">
        <f>SUM(COUNTIF('Raw Data'!$E$5:$E$500,$C10))</f>
        <v>3</v>
      </c>
      <c r="G10" s="81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</row>
    <row r="11" spans="1:29" x14ac:dyDescent="0.25">
      <c r="A11" s="50"/>
      <c r="B11" s="122" t="s">
        <v>71</v>
      </c>
      <c r="C11" s="39" t="s">
        <v>91</v>
      </c>
      <c r="D11" s="51">
        <f>SUM(SUMIF('Raw Data'!$E$5:$E$500,$C11, 'Raw Data'!$K$5:$K$500))/SUM(COUNTIF('Raw Data'!$E$5:$E$500,$C11))</f>
        <v>0.51174765194265093</v>
      </c>
      <c r="E11" s="55">
        <f>SUM(COUNTIF('Raw Data'!$E$5:$E$500,$C11))</f>
        <v>7</v>
      </c>
      <c r="G11" s="81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</row>
    <row r="12" spans="1:29" x14ac:dyDescent="0.25">
      <c r="A12" s="50"/>
      <c r="B12" s="123"/>
      <c r="C12" s="34" t="s">
        <v>108</v>
      </c>
      <c r="D12" s="53">
        <f>SUM(SUMIF('Raw Data'!$E$5:$E$500,$C12, 'Raw Data'!$K$5:$K$500))/SUM(COUNTIF('Raw Data'!$E$5:$E$500,$C12))</f>
        <v>0.48757539358781066</v>
      </c>
      <c r="E12" s="56">
        <f>SUM(COUNTIF('Raw Data'!$E$5:$E$500,$C12))</f>
        <v>13</v>
      </c>
      <c r="G12" s="81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</row>
    <row r="13" spans="1:29" ht="15.75" customHeight="1" x14ac:dyDescent="0.25">
      <c r="B13" s="123"/>
      <c r="C13" s="34" t="s">
        <v>175</v>
      </c>
      <c r="D13" s="53" t="e">
        <f>SUM(SUMIF('Raw Data'!$E$5:$E$500,$C13, 'Raw Data'!$K$5:$K$500))/SUM(COUNTIF('Raw Data'!$E$5:$E$500,$C13))</f>
        <v>#DIV/0!</v>
      </c>
      <c r="E13" s="56">
        <f>SUM(COUNTIF('Raw Data'!$E$5:$E$500,$C13))</f>
        <v>0</v>
      </c>
      <c r="G13" s="81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4"/>
    </row>
    <row r="14" spans="1:29" ht="15.75" customHeight="1" x14ac:dyDescent="0.25">
      <c r="B14" s="123"/>
      <c r="C14" s="34" t="s">
        <v>32</v>
      </c>
      <c r="D14" s="53" t="e">
        <f>SUM(SUMIF('Raw Data'!$E$5:$E$500,$C14, 'Raw Data'!$K$5:$K$500))/SUM(COUNTIF('Raw Data'!$E$5:$E$500,$C14))</f>
        <v>#DIV/0!</v>
      </c>
      <c r="E14" s="56">
        <f>SUM(COUNTIF('Raw Data'!$E$5:$E$500,$C14))</f>
        <v>0</v>
      </c>
      <c r="G14" s="81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/>
    </row>
    <row r="15" spans="1:29" x14ac:dyDescent="0.25">
      <c r="B15" s="123"/>
      <c r="C15" s="34" t="s">
        <v>228</v>
      </c>
      <c r="D15" s="53">
        <f>SUM(SUMIF('Raw Data'!$E$5:$E$500,$C15, 'Raw Data'!$K$5:$K$500))/SUM(COUNTIF('Raw Data'!$E$5:$E$500,$C15))</f>
        <v>0.58545900920692695</v>
      </c>
      <c r="E15" s="56">
        <f>SUM(COUNTIF('Raw Data'!$E$5:$E$500,$C15))</f>
        <v>7</v>
      </c>
      <c r="G15" s="81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4"/>
    </row>
    <row r="16" spans="1:29" x14ac:dyDescent="0.25">
      <c r="B16" s="123"/>
      <c r="C16" s="34" t="s">
        <v>203</v>
      </c>
      <c r="D16" s="53">
        <f>SUM(SUMIF('Raw Data'!$E$5:$E$500,$C16, 'Raw Data'!$K$5:$K$500))/SUM(COUNTIF('Raw Data'!$E$5:$E$500,$C16))</f>
        <v>0.5357285109926917</v>
      </c>
      <c r="E16" s="56">
        <f>SUM(COUNTIF('Raw Data'!$E$5:$E$500,$C16))</f>
        <v>1</v>
      </c>
      <c r="G16" s="81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4"/>
    </row>
    <row r="17" spans="1:29" ht="15.75" thickBot="1" x14ac:dyDescent="0.3">
      <c r="B17" s="124"/>
      <c r="C17" s="40" t="s">
        <v>27</v>
      </c>
      <c r="D17" s="97">
        <f>SUM(SUMIF('Raw Data'!$E$5:$E$500,$C17, 'Raw Data'!$K$5:$K$500))/SUM(COUNTIF('Raw Data'!$E$5:$E$500,$C17))</f>
        <v>0.5777749125982492</v>
      </c>
      <c r="E17" s="103">
        <f>SUM(COUNTIF('Raw Data'!$E$5:$E$500,$C17))</f>
        <v>27</v>
      </c>
      <c r="G17" s="81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</row>
    <row r="18" spans="1:29" ht="15.75" thickBot="1" x14ac:dyDescent="0.3">
      <c r="A18" s="50"/>
      <c r="B18" s="104" t="s">
        <v>386</v>
      </c>
      <c r="C18" s="105" t="s">
        <v>88</v>
      </c>
      <c r="D18" s="99">
        <f>SUM(SUMIF('Raw Data'!$E$5:$E$500,$C18, 'Raw Data'!$K$5:$K$500))/SUM(COUNTIF('Raw Data'!$E$5:$E$500,$C18))</f>
        <v>0.68101380205835471</v>
      </c>
      <c r="E18" s="101">
        <f>SUM(COUNTIF('Raw Data'!$E$5:$E$500,$C18))</f>
        <v>2</v>
      </c>
      <c r="G18" s="81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</row>
    <row r="19" spans="1:29" x14ac:dyDescent="0.25">
      <c r="A19" s="50"/>
      <c r="B19" s="112" t="s">
        <v>64</v>
      </c>
      <c r="C19" s="33" t="s">
        <v>15</v>
      </c>
      <c r="D19" s="52">
        <f>SUM(SUMIF('Raw Data'!$E$5:$E$500,$C19, 'Raw Data'!$K$5:$K$500))/SUM(COUNTIF('Raw Data'!$E$5:$E$500,$C19))</f>
        <v>0.77114407063072699</v>
      </c>
      <c r="E19" s="56">
        <f>SUM(COUNTIF('Raw Data'!$E$5:$E$500,$C19))</f>
        <v>1</v>
      </c>
      <c r="G19" s="81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</row>
    <row r="20" spans="1:29" x14ac:dyDescent="0.25">
      <c r="A20" s="50"/>
      <c r="B20" s="112"/>
      <c r="C20" s="34" t="s">
        <v>34</v>
      </c>
      <c r="D20" s="53">
        <f>SUM(SUMIF('Raw Data'!$E$5:$E$500,$C20, 'Raw Data'!$K$5:$K$500))/SUM(COUNTIF('Raw Data'!$E$5:$E$500,$C20))</f>
        <v>0.4820307087647473</v>
      </c>
      <c r="E20" s="56">
        <f>SUM(COUNTIF('Raw Data'!$E$5:$E$500,$C20))</f>
        <v>5</v>
      </c>
      <c r="G20" s="81"/>
      <c r="H20" s="63"/>
      <c r="I20" s="63"/>
      <c r="J20" s="63"/>
      <c r="K20" s="63"/>
      <c r="L20" s="95" t="e">
        <f>SUM('Installer Analysis'!D4)</f>
        <v>#DIV/0!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4"/>
    </row>
    <row r="21" spans="1:29" x14ac:dyDescent="0.25">
      <c r="B21" s="112"/>
      <c r="C21" s="34" t="s">
        <v>179</v>
      </c>
      <c r="D21" s="53">
        <f>SUM(SUMIF('Raw Data'!$E$5:$E$500,$C21, 'Raw Data'!$K$5:$K$500))/SUM(COUNTIF('Raw Data'!$E$5:$E$500,$C21))</f>
        <v>0.18568220729970605</v>
      </c>
      <c r="E21" s="56">
        <f>SUM(COUNTIF('Raw Data'!$E$5:$E$500,$C21))</f>
        <v>1</v>
      </c>
      <c r="G21" s="81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4"/>
    </row>
    <row r="22" spans="1:29" ht="15.75" thickBot="1" x14ac:dyDescent="0.3">
      <c r="B22" s="113"/>
      <c r="C22" s="40" t="s">
        <v>95</v>
      </c>
      <c r="D22" s="52" t="e">
        <f>SUM(SUMIF('Raw Data'!$E$5:$E$500,$C22, 'Raw Data'!$K$5:$K$500))/SUM(COUNTIF('Raw Data'!$E$5:$E$500,$C22))</f>
        <v>#DIV/0!</v>
      </c>
      <c r="E22" s="56">
        <f>SUM(COUNTIF('Raw Data'!$E$5:$E$500,$C22))</f>
        <v>0</v>
      </c>
      <c r="G22" s="81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</row>
    <row r="23" spans="1:29" ht="15.75" thickBot="1" x14ac:dyDescent="0.3">
      <c r="B23" s="146"/>
      <c r="C23" s="147"/>
      <c r="D23" s="106">
        <f>'Raw Data'!K3</f>
        <v>0.51615971812194594</v>
      </c>
      <c r="E23" s="107">
        <f>SUM(E4:E22)</f>
        <v>70</v>
      </c>
      <c r="G23" s="81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</row>
    <row r="24" spans="1:29" x14ac:dyDescent="0.25">
      <c r="B24" s="54"/>
      <c r="C24" s="47"/>
      <c r="D24" s="96"/>
      <c r="E24" s="102"/>
      <c r="G24" s="81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4"/>
    </row>
    <row r="25" spans="1:29" x14ac:dyDescent="0.25">
      <c r="B25" s="54"/>
      <c r="C25" s="47"/>
      <c r="D25" s="96"/>
      <c r="E25" s="102"/>
      <c r="G25" s="81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4"/>
    </row>
    <row r="26" spans="1:29" x14ac:dyDescent="0.25">
      <c r="B26" s="54"/>
      <c r="C26" s="47"/>
      <c r="D26" s="96"/>
      <c r="E26" s="102"/>
      <c r="G26" s="81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4"/>
    </row>
    <row r="27" spans="1:29" x14ac:dyDescent="0.25">
      <c r="B27" s="54"/>
      <c r="C27" s="47"/>
      <c r="D27" s="48"/>
      <c r="E27" s="102"/>
      <c r="G27" s="81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4"/>
    </row>
    <row r="28" spans="1:29" x14ac:dyDescent="0.25">
      <c r="B28" s="54"/>
      <c r="C28" s="47"/>
      <c r="D28" s="48"/>
      <c r="E28" s="102"/>
      <c r="G28" s="81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4"/>
    </row>
    <row r="29" spans="1:29" x14ac:dyDescent="0.25">
      <c r="B29" s="54"/>
      <c r="C29" s="47"/>
      <c r="D29" s="48"/>
      <c r="E29" s="102"/>
      <c r="G29" s="81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4"/>
    </row>
    <row r="30" spans="1:29" x14ac:dyDescent="0.25">
      <c r="B30" s="76"/>
      <c r="C30" s="47"/>
      <c r="D30" s="48"/>
      <c r="E30" s="102"/>
      <c r="G30" s="81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4"/>
    </row>
    <row r="31" spans="1:29" x14ac:dyDescent="0.25">
      <c r="B31" s="76"/>
      <c r="C31" s="47"/>
      <c r="D31" s="96"/>
      <c r="E31" s="102"/>
      <c r="G31" s="81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4"/>
    </row>
    <row r="32" spans="1:29" x14ac:dyDescent="0.25">
      <c r="B32" s="76"/>
      <c r="C32" s="47"/>
      <c r="D32" s="48"/>
      <c r="E32" s="102"/>
      <c r="G32" s="81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4"/>
    </row>
    <row r="33" spans="2:29" x14ac:dyDescent="0.25">
      <c r="B33" s="98"/>
      <c r="C33" s="47"/>
      <c r="D33" s="48"/>
      <c r="E33" s="102"/>
      <c r="G33" s="81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4"/>
    </row>
    <row r="34" spans="2:29" x14ac:dyDescent="0.25">
      <c r="C34" s="47"/>
      <c r="D34" s="48"/>
      <c r="E34" s="102"/>
      <c r="G34" s="81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4"/>
    </row>
    <row r="35" spans="2:29" x14ac:dyDescent="0.25">
      <c r="G35" s="81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4"/>
    </row>
    <row r="36" spans="2:29" ht="15.75" thickBot="1" x14ac:dyDescent="0.3">
      <c r="G36" s="82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9"/>
    </row>
    <row r="37" spans="2:29" ht="15.75" thickBot="1" x14ac:dyDescent="0.3"/>
    <row r="38" spans="2:29" x14ac:dyDescent="0.25">
      <c r="G38" s="8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1"/>
    </row>
    <row r="39" spans="2:29" x14ac:dyDescent="0.25">
      <c r="G39" s="81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4"/>
    </row>
    <row r="40" spans="2:29" x14ac:dyDescent="0.25">
      <c r="G40" s="81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4"/>
    </row>
    <row r="41" spans="2:29" x14ac:dyDescent="0.25">
      <c r="G41" s="81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4"/>
    </row>
    <row r="42" spans="2:29" x14ac:dyDescent="0.25">
      <c r="G42" s="81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4"/>
    </row>
    <row r="43" spans="2:29" x14ac:dyDescent="0.25">
      <c r="G43" s="81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4"/>
    </row>
    <row r="44" spans="2:29" x14ac:dyDescent="0.25">
      <c r="G44" s="81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4"/>
    </row>
    <row r="45" spans="2:29" x14ac:dyDescent="0.25">
      <c r="G45" s="81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4"/>
    </row>
    <row r="46" spans="2:29" x14ac:dyDescent="0.25">
      <c r="G46" s="81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4"/>
    </row>
    <row r="47" spans="2:29" x14ac:dyDescent="0.25">
      <c r="G47" s="81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4"/>
    </row>
    <row r="48" spans="2:29" x14ac:dyDescent="0.25">
      <c r="G48" s="81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4"/>
    </row>
    <row r="49" spans="7:29" x14ac:dyDescent="0.25">
      <c r="G49" s="81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4"/>
    </row>
    <row r="50" spans="7:29" x14ac:dyDescent="0.25">
      <c r="G50" s="81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4"/>
    </row>
    <row r="51" spans="7:29" x14ac:dyDescent="0.25">
      <c r="G51" s="81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4"/>
    </row>
    <row r="52" spans="7:29" x14ac:dyDescent="0.25">
      <c r="G52" s="81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4"/>
    </row>
    <row r="53" spans="7:29" x14ac:dyDescent="0.25">
      <c r="G53" s="81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4"/>
    </row>
    <row r="54" spans="7:29" x14ac:dyDescent="0.25">
      <c r="G54" s="81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4"/>
    </row>
    <row r="55" spans="7:29" x14ac:dyDescent="0.25">
      <c r="G55" s="81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4"/>
    </row>
    <row r="56" spans="7:29" x14ac:dyDescent="0.25">
      <c r="G56" s="81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4"/>
    </row>
    <row r="57" spans="7:29" x14ac:dyDescent="0.25">
      <c r="G57" s="81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4"/>
    </row>
    <row r="58" spans="7:29" x14ac:dyDescent="0.25">
      <c r="G58" s="81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4"/>
    </row>
    <row r="59" spans="7:29" x14ac:dyDescent="0.25">
      <c r="G59" s="81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4"/>
    </row>
    <row r="60" spans="7:29" x14ac:dyDescent="0.25">
      <c r="G60" s="81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4"/>
    </row>
    <row r="61" spans="7:29" x14ac:dyDescent="0.25">
      <c r="G61" s="81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4"/>
    </row>
    <row r="62" spans="7:29" x14ac:dyDescent="0.25">
      <c r="G62" s="81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4"/>
    </row>
    <row r="63" spans="7:29" x14ac:dyDescent="0.25">
      <c r="G63" s="81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4"/>
    </row>
    <row r="64" spans="7:29" x14ac:dyDescent="0.25">
      <c r="G64" s="81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4"/>
    </row>
    <row r="65" spans="7:29" x14ac:dyDescent="0.25">
      <c r="G65" s="81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4"/>
    </row>
    <row r="66" spans="7:29" x14ac:dyDescent="0.25">
      <c r="G66" s="81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4"/>
    </row>
    <row r="67" spans="7:29" x14ac:dyDescent="0.25">
      <c r="G67" s="81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4"/>
    </row>
    <row r="68" spans="7:29" ht="15.75" thickBot="1" x14ac:dyDescent="0.3">
      <c r="G68" s="82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9"/>
    </row>
  </sheetData>
  <sortState ref="A4:AB22">
    <sortCondition ref="B4:B22"/>
    <sortCondition ref="C4:C22"/>
  </sortState>
  <mergeCells count="8">
    <mergeCell ref="E2:E3"/>
    <mergeCell ref="B19:B22"/>
    <mergeCell ref="B23:C23"/>
    <mergeCell ref="B2:B3"/>
    <mergeCell ref="C2:C3"/>
    <mergeCell ref="D2:D3"/>
    <mergeCell ref="B4:B10"/>
    <mergeCell ref="B11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0"/>
  <sheetViews>
    <sheetView showGridLines="0" workbookViewId="0">
      <selection activeCell="W11" sqref="W11"/>
    </sheetView>
  </sheetViews>
  <sheetFormatPr defaultRowHeight="15" x14ac:dyDescent="0.25"/>
  <cols>
    <col min="1" max="1" width="2.42578125" customWidth="1"/>
    <col min="2" max="2" width="14.7109375" style="15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23" ht="15.75" thickBot="1" x14ac:dyDescent="0.3">
      <c r="I1" s="57"/>
    </row>
    <row r="2" spans="1:23" ht="15" customHeight="1" x14ac:dyDescent="0.25">
      <c r="B2" s="116" t="s">
        <v>22</v>
      </c>
      <c r="C2" s="118" t="s">
        <v>72</v>
      </c>
      <c r="D2" s="118" t="s">
        <v>80</v>
      </c>
      <c r="E2" s="118" t="s">
        <v>73</v>
      </c>
      <c r="F2" s="118" t="s">
        <v>74</v>
      </c>
      <c r="G2" s="118" t="s">
        <v>75</v>
      </c>
      <c r="H2" s="118" t="s">
        <v>76</v>
      </c>
      <c r="I2" s="118" t="s">
        <v>79</v>
      </c>
      <c r="J2" s="118" t="s">
        <v>77</v>
      </c>
    </row>
    <row r="3" spans="1:23" ht="15.75" customHeight="1" thickBot="1" x14ac:dyDescent="0.3">
      <c r="B3" s="117"/>
      <c r="C3" s="119"/>
      <c r="D3" s="119"/>
      <c r="E3" s="119"/>
      <c r="F3" s="119"/>
      <c r="G3" s="119"/>
      <c r="H3" s="119"/>
      <c r="I3" s="119"/>
      <c r="J3" s="119"/>
    </row>
    <row r="4" spans="1:23" x14ac:dyDescent="0.25">
      <c r="A4" s="50"/>
      <c r="B4" s="34" t="s">
        <v>31</v>
      </c>
      <c r="C4" s="45">
        <f>SUM(SUMIF('Raw Data'!$D$5:$D$500,{"BS"}, 'Raw Data'!$I$5:$KI$500))</f>
        <v>703014.36999999976</v>
      </c>
      <c r="D4" s="56">
        <f>SUM(COUNTIF('Raw Data'!$D$5:$D$500,{"BS"}))</f>
        <v>57</v>
      </c>
      <c r="E4" s="45">
        <f>SUM(SUMIF('Raw Data'!$D$5:$D$500,{"BS"}, 'Raw Data'!$I$5:$I$500))/SUM(COUNTIF('Raw Data'!$D$5:$D$500,{"BS"}))</f>
        <v>12333.585438596487</v>
      </c>
      <c r="F4" s="52">
        <f>SUM(SUMIF('Raw Data'!$D$5:$D$500,{"BS"}, 'Raw Data'!$K$5:$K$500))/SUM(COUNTIF('Raw Data'!$D$5:$D$500,{"BS"}))</f>
        <v>0.52083067698095153</v>
      </c>
      <c r="G4" s="52">
        <f>SUM(SUMIF('Raw Data'!$D$5:$D$500,{"BS"}, 'Raw Data'!$M$5:$M$500))/SUM(COUNTIF('Raw Data'!$D$5:$D$500,{"BS"}))</f>
        <v>0.10186531481775973</v>
      </c>
      <c r="H4" s="45">
        <f>SUM(SUMIF('Raw Data'!$D$5:$D$500,{"BS"}, 'Raw Data'!$N$5:$N$500))/SUM(COUNTIF('Raw Data'!$D$5:$D$500,{"BS"}))</f>
        <v>122.42859649122818</v>
      </c>
      <c r="I4" s="45">
        <f>SUM(SUMIF('Raw Data'!$D$5:$D$500,{"BS"}, 'Raw Data'!$O$5:$O$500))</f>
        <v>5221</v>
      </c>
      <c r="J4" s="45">
        <f>SUM(SUMIF('Raw Data'!$D$5:$D$500,{"BS"}, 'Raw Data'!$O$5:$O$500))/SUM(COUNTIF('Raw Data'!$D$5:$D$500,{"BS"}))</f>
        <v>91.596491228070178</v>
      </c>
    </row>
    <row r="5" spans="1:23" x14ac:dyDescent="0.25">
      <c r="A5" s="50"/>
      <c r="B5" s="34" t="s">
        <v>33</v>
      </c>
      <c r="C5" s="44">
        <f>SUM(SUMIF('Raw Data'!$D$5:$D$500,{"CD"}, 'Raw Data'!$I$5:$KI$500))</f>
        <v>624684.19999999995</v>
      </c>
      <c r="D5" s="56">
        <f>SUM(COUNTIF('Raw Data'!$D$5:$D$500,{"CD"}))</f>
        <v>55</v>
      </c>
      <c r="E5" s="45">
        <f>SUM(SUMIF('Raw Data'!$D$5:$D$500,{"CD"}, 'Raw Data'!$I$5:$I$500))/SUM(COUNTIF('Raw Data'!$D$5:$D$500,{"CD"}))</f>
        <v>11357.894545454545</v>
      </c>
      <c r="F5" s="52">
        <f>SUM(SUMIF('Raw Data'!$D$5:$D$500,{"CD"}, 'Raw Data'!$K$5:$K$500))/SUM(COUNTIF('Raw Data'!$D$5:$D$500,{"CD"}))</f>
        <v>0.52821249318613839</v>
      </c>
      <c r="G5" s="52">
        <f>SUM(SUMIF('Raw Data'!$D$5:$D$500,{"CD"}, 'Raw Data'!$M$5:$M$500))/SUM(COUNTIF('Raw Data'!$D$5:$D$500,{"CD"}))</f>
        <v>0.10663562002918142</v>
      </c>
      <c r="H5" s="45">
        <f>SUM(SUMIF('Raw Data'!$D$5:$D$500,{"CD"}, 'Raw Data'!$N$5:$N$500))/SUM(COUNTIF('Raw Data'!$D$5:$D$500,{"CD"}))</f>
        <v>315.73381818181821</v>
      </c>
      <c r="I5" s="44">
        <f>SUM(SUMIF('Raw Data'!$D$5:$D$500,{"CD"}, 'Raw Data'!$O$5:$O$500))</f>
        <v>2785.4</v>
      </c>
      <c r="J5" s="45">
        <f>SUM(SUMIF('Raw Data'!$D$5:$D$500,{"CD"}, 'Raw Data'!$O$5:$O$500))/SUM(COUNTIF('Raw Data'!$D$5:$D$500,{"CD"}))</f>
        <v>50.643636363636368</v>
      </c>
    </row>
    <row r="6" spans="1:23" x14ac:dyDescent="0.25">
      <c r="A6" s="50"/>
      <c r="B6" s="33" t="s">
        <v>53</v>
      </c>
      <c r="C6" s="44">
        <f>SUM(SUMIF('Raw Data'!$D$5:$D$500,{"EK"}, 'Raw Data'!$I$5:$KI$500))</f>
        <v>5745.53</v>
      </c>
      <c r="D6" s="56">
        <f>SUM(COUNTIF('Raw Data'!$D$5:$D$500,{"EK"}))</f>
        <v>1</v>
      </c>
      <c r="E6" s="45">
        <f>SUM(SUMIF('Raw Data'!$D$5:$D$500,{"EK"}, 'Raw Data'!$I$5:$I$500))/SUM(COUNTIF('Raw Data'!$D$5:$D$500,{"EK"}))</f>
        <v>5745.53</v>
      </c>
      <c r="F6" s="52">
        <f>SUM(SUMIF('Raw Data'!$D$5:$D$500,{"EK"}, 'Raw Data'!$K$5:$K$500))/SUM(COUNTIF('Raw Data'!$D$5:$D$500,{"EK"}))</f>
        <v>0.57632629191736884</v>
      </c>
      <c r="G6" s="52">
        <f>SUM(SUMIF('Raw Data'!$D$5:$D$500,{"EK"}, 'Raw Data'!$M$5:$M$500))/SUM(COUNTIF('Raw Data'!$D$5:$D$500,{"EK"}))</f>
        <v>0.13650959963658707</v>
      </c>
      <c r="H6" s="45">
        <f>SUM(SUMIF('Raw Data'!$D$5:$D$500,{"EK"}, 'Raw Data'!$N$5:$N$500))/SUM(COUNTIF('Raw Data'!$D$5:$D$500,{"EK"}))</f>
        <v>592.28</v>
      </c>
      <c r="I6" s="44">
        <f>SUM(SUMIF('Raw Data'!$D$5:$D$500,{"EK"}, 'Raw Data'!$O$5:$O$500))</f>
        <v>0</v>
      </c>
      <c r="J6" s="45">
        <f>SUM(SUMIF('Raw Data'!$D$5:$D$500,{"EK"}, 'Raw Data'!$O$5:$O$500))/SUM(COUNTIF('Raw Data'!$D$5:$D$500,{"EK"}))</f>
        <v>0</v>
      </c>
    </row>
    <row r="7" spans="1:23" x14ac:dyDescent="0.25">
      <c r="A7" s="50"/>
      <c r="B7" s="34" t="s">
        <v>78</v>
      </c>
      <c r="C7" s="44">
        <f>SUM(SUMIF('Raw Data'!$D$5:$D$500,{"EN"}, 'Raw Data'!$I$5:$KI$500))</f>
        <v>457231.20999999996</v>
      </c>
      <c r="D7" s="72">
        <f>SUM(COUNTIF('Raw Data'!$D$5:$D$500,{"EN"}))</f>
        <v>39</v>
      </c>
      <c r="E7" s="44">
        <f>SUM(SUMIF('Raw Data'!$D$5:$D$500,{"EN"}, 'Raw Data'!$I$5:$I$500))/SUM(COUNTIF('Raw Data'!$D$5:$D$500,{"EN"}))</f>
        <v>11723.877179487179</v>
      </c>
      <c r="F7" s="53">
        <f>SUM(SUMIF('Raw Data'!$D$5:$D$500,{"EN"}, 'Raw Data'!$K$5:$K$500))/SUM(COUNTIF('Raw Data'!$D$5:$D$500,{"EN"}))</f>
        <v>0.38069339568899219</v>
      </c>
      <c r="G7" s="53">
        <f>SUM(SUMIF('Raw Data'!$D$5:$D$500,{"EN"}, 'Raw Data'!$M$5:$M$500))/SUM(COUNTIF('Raw Data'!$D$5:$D$500,{"EN"}))</f>
        <v>7.025779688283379E-2</v>
      </c>
      <c r="H7" s="44">
        <f>SUM(SUMIF('Raw Data'!$D$5:$D$500,{"EN"}, 'Raw Data'!$N$5:$N$500))/SUM(COUNTIF('Raw Data'!$D$5:$D$500,{"EN"}))</f>
        <v>-755.27384615384619</v>
      </c>
      <c r="I7" s="44">
        <f>SUM(SUMIF('Raw Data'!$D$5:$D$500,{"EN"}, 'Raw Data'!$O$5:$O$500))</f>
        <v>4656.6899999999996</v>
      </c>
      <c r="J7" s="44">
        <f>SUM(SUMIF('Raw Data'!$D$5:$D$500,{"EN"}, 'Raw Data'!$O$5:$O$500))/SUM(COUNTIF('Raw Data'!$D$5:$D$500,{"EN"}))</f>
        <v>119.40230769230769</v>
      </c>
      <c r="Q7" s="6"/>
    </row>
    <row r="8" spans="1:23" x14ac:dyDescent="0.25">
      <c r="A8" s="50"/>
      <c r="B8" s="33" t="s">
        <v>98</v>
      </c>
      <c r="C8" s="45">
        <f>SUM(SUMIF('Raw Data'!$D$5:$D$500,{"JG"}, 'Raw Data'!$I$5:$KI$500))</f>
        <v>158418.56</v>
      </c>
      <c r="D8" s="56">
        <f>SUM(COUNTIF('Raw Data'!$D$5:$D$500,{"JG"}))</f>
        <v>10</v>
      </c>
      <c r="E8" s="45">
        <f>SUM(SUMIF('Raw Data'!$D$5:$D$500,{"JG"}, 'Raw Data'!$I$5:$I$500))/SUM(COUNTIF('Raw Data'!$D$5:$D$500,{"JG"}))</f>
        <v>15841.856</v>
      </c>
      <c r="F8" s="52">
        <f>SUM(SUMIF('Raw Data'!$D$5:$D$500,{"JG"}, 'Raw Data'!$K$5:$K$500))/SUM(COUNTIF('Raw Data'!$D$5:$D$500,{"JG"}))</f>
        <v>0.46090166362662188</v>
      </c>
      <c r="G8" s="52">
        <f>SUM(SUMIF('Raw Data'!$D$5:$D$500,{"JG"}, 'Raw Data'!$M$5:$M$500))/SUM(COUNTIF('Raw Data'!$D$5:$D$500,{"JG"}))</f>
        <v>7.5806315303063615E-2</v>
      </c>
      <c r="H8" s="45">
        <f>SUM(SUMIF('Raw Data'!$D$5:$D$500,{"JG"}, 'Raw Data'!$N$5:$N$500))/SUM(COUNTIF('Raw Data'!$D$5:$D$500,{"JG"}))</f>
        <v>-1493.5780000000002</v>
      </c>
      <c r="I8" s="45">
        <f>SUM(SUMIF('Raw Data'!$D$5:$D$500,{"JG"}, 'Raw Data'!$O$5:$O$500))</f>
        <v>400</v>
      </c>
      <c r="J8" s="45">
        <f>SUM(SUMIF('Raw Data'!$D$5:$D$500,{"JG"}, 'Raw Data'!$O$5:$O$500))/SUM(COUNTIF('Raw Data'!$D$5:$D$500,{"JG"}))</f>
        <v>40</v>
      </c>
    </row>
    <row r="9" spans="1:23" x14ac:dyDescent="0.25">
      <c r="A9" s="50"/>
      <c r="B9" s="33" t="s">
        <v>188</v>
      </c>
      <c r="C9" s="45">
        <f>SUM(SUMIF('Raw Data'!$D$5:$D$500,{"JP"}, 'Raw Data'!$I$5:$KI$500))</f>
        <v>24600.809999999998</v>
      </c>
      <c r="D9" s="56">
        <f>SUM(COUNTIF('Raw Data'!$D$5:$D$500,{"JP"}))</f>
        <v>3</v>
      </c>
      <c r="E9" s="45">
        <f>SUM(SUMIF('Raw Data'!$D$5:$D$500,{"JP"}, 'Raw Data'!$I$5:$I$500))/SUM(COUNTIF('Raw Data'!$D$5:$D$500,{"JP"}))</f>
        <v>8200.2699999999986</v>
      </c>
      <c r="F9" s="52">
        <f>SUM(SUMIF('Raw Data'!$D$5:$D$500,{"JP"}, 'Raw Data'!$K$5:$K$500))/SUM(COUNTIF('Raw Data'!$D$5:$D$500,{"JP"}))</f>
        <v>0.32614687051464358</v>
      </c>
      <c r="G9" s="52">
        <f>SUM(SUMIF('Raw Data'!$D$5:$D$500,{"JP"}, 'Raw Data'!$M$5:$M$500))/SUM(COUNTIF('Raw Data'!$D$5:$D$500,{"JP"}))</f>
        <v>0</v>
      </c>
      <c r="H9" s="45">
        <f>SUM(SUMIF('Raw Data'!$D$5:$D$500,{"JP"}, 'Raw Data'!$N$5:$N$500))/SUM(COUNTIF('Raw Data'!$D$5:$D$500,{"JP"}))</f>
        <v>0</v>
      </c>
      <c r="I9" s="45">
        <f>SUM(SUMIF('Raw Data'!$D$5:$D$500,{"JP"}, 'Raw Data'!$O$5:$O$500))</f>
        <v>0</v>
      </c>
      <c r="J9" s="45">
        <f>SUM(SUMIF('Raw Data'!$D$5:$D$500,{"JP"}, 'Raw Data'!$O$5:$O$500))/SUM(COUNTIF('Raw Data'!$D$5:$D$500,{"JP"}))</f>
        <v>0</v>
      </c>
    </row>
    <row r="10" spans="1:23" x14ac:dyDescent="0.25">
      <c r="A10" s="50"/>
      <c r="B10" s="33" t="s">
        <v>39</v>
      </c>
      <c r="C10" s="44">
        <f>SUM(SUMIF('Raw Data'!$D$5:$D$500,{"LJ"}, 'Raw Data'!$I$5:$KI$500))</f>
        <v>1062596.3799999999</v>
      </c>
      <c r="D10" s="56">
        <f>SUM(COUNTIF('Raw Data'!$D$5:$D$500,{"LJ"}))</f>
        <v>52</v>
      </c>
      <c r="E10" s="45">
        <f>SUM(SUMIF('Raw Data'!$D$5:$D$500,{"LJ"}, 'Raw Data'!$I$5:$I$500))/SUM(COUNTIF('Raw Data'!$D$5:$D$500,{"LJ"}))</f>
        <v>20434.545769230768</v>
      </c>
      <c r="F10" s="52">
        <f>SUM(SUMIF('Raw Data'!$D$5:$D$500,{"LJ"}, 'Raw Data'!$K$5:$K$500))/SUM(COUNTIF('Raw Data'!$D$5:$D$500,{"LJ"}))</f>
        <v>0.50789226567258472</v>
      </c>
      <c r="G10" s="52">
        <f>SUM(SUMIF('Raw Data'!$D$5:$D$500,{"LJ"}, 'Raw Data'!$M$5:$M$500))/SUM(COUNTIF('Raw Data'!$D$5:$D$500,{"LJ"}))</f>
        <v>0.1038620157023073</v>
      </c>
      <c r="H10" s="45">
        <f>SUM(SUMIF('Raw Data'!$D$5:$D$500,{"LJ"}, 'Raw Data'!$N$5:$N$500))/SUM(COUNTIF('Raw Data'!$D$5:$D$500,{"LJ"}))</f>
        <v>683.65788461538477</v>
      </c>
      <c r="I10" s="44">
        <f>SUM(SUMIF('Raw Data'!$D$5:$D$500,{"LJ"}, 'Raw Data'!$O$5:$O$500))</f>
        <v>2615.5299999999997</v>
      </c>
      <c r="J10" s="45">
        <f>SUM(SUMIF('Raw Data'!$D$5:$D$500,{"LJ"}, 'Raw Data'!$O$5:$O$500))/SUM(COUNTIF('Raw Data'!$D$5:$D$500,{"LJ"}))</f>
        <v>50.29865384615384</v>
      </c>
    </row>
    <row r="11" spans="1:23" x14ac:dyDescent="0.25">
      <c r="A11" s="50"/>
      <c r="B11" s="34" t="s">
        <v>26</v>
      </c>
      <c r="C11" s="44">
        <f>SUM(SUMIF('Raw Data'!$D$5:$D$500,{"MW"}, 'Raw Data'!$I$5:$KI$500))</f>
        <v>912030.08</v>
      </c>
      <c r="D11" s="72">
        <f>SUM(COUNTIF('Raw Data'!$D$5:$D$500,{"MW"}))</f>
        <v>55</v>
      </c>
      <c r="E11" s="44">
        <f>SUM(SUMIF('Raw Data'!$D$5:$D$500,{"MW"}, 'Raw Data'!$I$5:$I$500))/SUM(COUNTIF('Raw Data'!$D$5:$D$500,{"MW"}))</f>
        <v>16582.36509090909</v>
      </c>
      <c r="F11" s="53">
        <f>SUM(SUMIF('Raw Data'!$D$5:$D$500,{"MW"}, 'Raw Data'!$K$5:$K$500))/SUM(COUNTIF('Raw Data'!$D$5:$D$500,{"MW"}))</f>
        <v>0.55401405880041765</v>
      </c>
      <c r="G11" s="53">
        <f>SUM(SUMIF('Raw Data'!$D$5:$D$500,{"MW"}, 'Raw Data'!$M$5:$M$500))/SUM(COUNTIF('Raw Data'!$D$5:$D$500,{"MW"}))</f>
        <v>0.10618931443285233</v>
      </c>
      <c r="H11" s="44">
        <f>SUM(SUMIF('Raw Data'!$D$5:$D$500,{"MW"}, 'Raw Data'!$N$5:$N$500))/SUM(COUNTIF('Raw Data'!$D$5:$D$500,{"MW"}))</f>
        <v>737.99945454545468</v>
      </c>
      <c r="I11" s="44">
        <f>SUM(SUMIF('Raw Data'!$D$5:$D$500,{"MW"}, 'Raw Data'!$O$5:$O$500))</f>
        <v>4400</v>
      </c>
      <c r="J11" s="44">
        <f>SUM(SUMIF('Raw Data'!$D$5:$D$500,{"MW"}, 'Raw Data'!$O$5:$O$500))/SUM(COUNTIF('Raw Data'!$D$5:$D$500,{"MW"}))</f>
        <v>80</v>
      </c>
    </row>
    <row r="12" spans="1:23" ht="15.75" thickBot="1" x14ac:dyDescent="0.3">
      <c r="A12" s="50"/>
      <c r="B12" s="33" t="s">
        <v>377</v>
      </c>
      <c r="C12" s="45">
        <f>SUM(SUMIF('Raw Data'!$D$5:$D$500,{"T"}, 'Raw Data'!$I$5:$KI$500))</f>
        <v>1937.43</v>
      </c>
      <c r="D12" s="56">
        <f>SUM(COUNTIF('Raw Data'!$D$5:$D$500,{"T"}))</f>
        <v>1</v>
      </c>
      <c r="E12" s="45">
        <f>SUM(SUMIF('Raw Data'!$D$5:$D$500,{"T"}, 'Raw Data'!$I$5:$I$500))/SUM(COUNTIF('Raw Data'!$D$5:$D$500,{"T"}))</f>
        <v>1937.43</v>
      </c>
      <c r="F12" s="52">
        <f>SUM(SUMIF('Raw Data'!$D$5:$D$500,{"T"}, 'Raw Data'!$K$5:$K$500))/SUM(COUNTIF('Raw Data'!$D$5:$D$500,{"T"}))</f>
        <v>0.23522914376261336</v>
      </c>
      <c r="G12" s="52">
        <f>SUM(SUMIF('Raw Data'!$D$5:$D$500,{"T"}, 'Raw Data'!$M$5:$M$500))/SUM(COUNTIF('Raw Data'!$D$5:$D$500,{"T"}))</f>
        <v>0.14365938382289939</v>
      </c>
      <c r="H12" s="45">
        <f>SUM(SUMIF('Raw Data'!$D$5:$D$500,{"T"}, 'Raw Data'!$N$5:$N$500))/SUM(COUNTIF('Raw Data'!$D$5:$D$500,{"T"}))</f>
        <v>-1454.77</v>
      </c>
      <c r="I12" s="45">
        <f>SUM(SUMIF('Raw Data'!$D$5:$D$500,{"T"}, 'Raw Data'!$O$5:$O$500))</f>
        <v>691</v>
      </c>
      <c r="J12" s="45">
        <f>SUM(SUMIF('Raw Data'!$D$5:$D$500,{"T"}, 'Raw Data'!$O$5:$O$500))/SUM(COUNTIF('Raw Data'!$D$5:$D$500,{"T"}))</f>
        <v>691</v>
      </c>
    </row>
    <row r="13" spans="1:23" ht="15.75" customHeight="1" x14ac:dyDescent="0.25">
      <c r="B13" s="116"/>
      <c r="C13" s="150">
        <f>SUM(C4:C11)</f>
        <v>3948321.1399999997</v>
      </c>
      <c r="D13" s="154">
        <f>SUM(D4:D11)</f>
        <v>272</v>
      </c>
      <c r="E13" s="150">
        <f>AVERAGE(E4:E11)</f>
        <v>12777.490502959758</v>
      </c>
      <c r="F13" s="152">
        <f>AVERAGE(F4:F11)</f>
        <v>0.48187721454846488</v>
      </c>
      <c r="G13" s="152">
        <f>AVERAGE(G4:G11)</f>
        <v>8.7640747100573152E-2</v>
      </c>
      <c r="H13" s="150">
        <f>AVERAGE(H4:H11)</f>
        <v>25.405988460004949</v>
      </c>
      <c r="I13" s="150">
        <f>SUM(I4:I11)</f>
        <v>20078.62</v>
      </c>
      <c r="J13" s="150">
        <f>AVERAGE(J4:J11)</f>
        <v>53.992636141271014</v>
      </c>
    </row>
    <row r="14" spans="1:23" ht="15.75" customHeight="1" thickBot="1" x14ac:dyDescent="0.3">
      <c r="B14" s="117"/>
      <c r="C14" s="151"/>
      <c r="D14" s="155"/>
      <c r="E14" s="151"/>
      <c r="F14" s="153"/>
      <c r="G14" s="153"/>
      <c r="H14" s="151"/>
      <c r="I14" s="151"/>
      <c r="J14" s="151"/>
    </row>
    <row r="15" spans="1:23" ht="15.75" thickBot="1" x14ac:dyDescent="0.3">
      <c r="B15" s="46"/>
      <c r="C15" s="47"/>
      <c r="D15" s="47"/>
      <c r="E15" s="47"/>
      <c r="F15" s="47"/>
      <c r="G15" s="47"/>
      <c r="H15" s="47"/>
      <c r="I15" s="47"/>
      <c r="J15" s="47"/>
    </row>
    <row r="16" spans="1:23" x14ac:dyDescent="0.25">
      <c r="B16" s="58"/>
      <c r="C16" s="59"/>
      <c r="D16" s="59"/>
      <c r="E16" s="59"/>
      <c r="F16" s="59"/>
      <c r="G16" s="59"/>
      <c r="H16" s="59"/>
      <c r="I16" s="59"/>
      <c r="J16" s="59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1"/>
    </row>
    <row r="17" spans="2:23" x14ac:dyDescent="0.25">
      <c r="B17" s="62"/>
      <c r="C17" s="48"/>
      <c r="D17" s="48"/>
      <c r="E17" s="48"/>
      <c r="F17" s="48"/>
      <c r="G17" s="48"/>
      <c r="H17" s="48"/>
      <c r="I17" s="48"/>
      <c r="J17" s="48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4"/>
    </row>
    <row r="18" spans="2:23" x14ac:dyDescent="0.25">
      <c r="B18" s="62"/>
      <c r="C18" s="48"/>
      <c r="D18" s="48"/>
      <c r="E18" s="48"/>
      <c r="F18" s="48"/>
      <c r="G18" s="48"/>
      <c r="H18" s="48"/>
      <c r="I18" s="48"/>
      <c r="J18" s="48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4"/>
    </row>
    <row r="19" spans="2:23" x14ac:dyDescent="0.25">
      <c r="B19" s="62"/>
      <c r="C19" s="48"/>
      <c r="D19" s="48"/>
      <c r="E19" s="48"/>
      <c r="F19" s="48"/>
      <c r="G19" s="48"/>
      <c r="H19" s="48"/>
      <c r="I19" s="48"/>
      <c r="J19" s="48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4"/>
    </row>
    <row r="20" spans="2:23" x14ac:dyDescent="0.25">
      <c r="B20" s="62"/>
      <c r="C20" s="48"/>
      <c r="D20" s="48"/>
      <c r="E20" s="48"/>
      <c r="F20" s="48"/>
      <c r="G20" s="48"/>
      <c r="H20" s="48"/>
      <c r="I20" s="48"/>
      <c r="J20" s="48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4"/>
    </row>
    <row r="21" spans="2:23" x14ac:dyDescent="0.25">
      <c r="B21" s="62"/>
      <c r="C21" s="48"/>
      <c r="D21" s="48"/>
      <c r="E21" s="48"/>
      <c r="F21" s="48"/>
      <c r="G21" s="48"/>
      <c r="H21" s="48"/>
      <c r="I21" s="48"/>
      <c r="J21" s="48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4"/>
    </row>
    <row r="22" spans="2:23" x14ac:dyDescent="0.25">
      <c r="B22" s="62"/>
      <c r="C22" s="48"/>
      <c r="D22" s="48"/>
      <c r="E22" s="48"/>
      <c r="F22" s="48"/>
      <c r="G22" s="48"/>
      <c r="H22" s="48"/>
      <c r="I22" s="48"/>
      <c r="J22" s="48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4"/>
    </row>
    <row r="23" spans="2:23" x14ac:dyDescent="0.25">
      <c r="B23" s="62"/>
      <c r="C23" s="48"/>
      <c r="D23" s="48"/>
      <c r="E23" s="48"/>
      <c r="F23" s="48"/>
      <c r="G23" s="48"/>
      <c r="H23" s="48"/>
      <c r="I23" s="48"/>
      <c r="J23" s="48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4"/>
    </row>
    <row r="24" spans="2:23" x14ac:dyDescent="0.25">
      <c r="B24" s="62"/>
      <c r="C24" s="48"/>
      <c r="D24" s="48"/>
      <c r="E24" s="48"/>
      <c r="F24" s="48"/>
      <c r="G24" s="48"/>
      <c r="H24" s="48"/>
      <c r="I24" s="48"/>
      <c r="J24" s="48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4"/>
    </row>
    <row r="25" spans="2:23" x14ac:dyDescent="0.25">
      <c r="B25" s="62"/>
      <c r="C25" s="48"/>
      <c r="D25" s="48"/>
      <c r="E25" s="48"/>
      <c r="F25" s="48"/>
      <c r="G25" s="48"/>
      <c r="H25" s="48"/>
      <c r="I25" s="48"/>
      <c r="J25" s="48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4"/>
    </row>
    <row r="26" spans="2:23" x14ac:dyDescent="0.25">
      <c r="B26" s="62"/>
      <c r="C26" s="48"/>
      <c r="D26" s="48"/>
      <c r="E26" s="48"/>
      <c r="F26" s="48"/>
      <c r="G26" s="48"/>
      <c r="H26" s="48"/>
      <c r="I26" s="48"/>
      <c r="J26" s="48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4"/>
    </row>
    <row r="27" spans="2:23" x14ac:dyDescent="0.25">
      <c r="B27" s="62"/>
      <c r="C27" s="48"/>
      <c r="D27" s="48"/>
      <c r="E27" s="48"/>
      <c r="F27" s="48"/>
      <c r="G27" s="48"/>
      <c r="H27" s="48"/>
      <c r="I27" s="48"/>
      <c r="J27" s="48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4"/>
    </row>
    <row r="28" spans="2:23" x14ac:dyDescent="0.25">
      <c r="B28" s="62"/>
      <c r="C28" s="48"/>
      <c r="D28" s="48"/>
      <c r="E28" s="48"/>
      <c r="F28" s="48"/>
      <c r="G28" s="48"/>
      <c r="H28" s="48"/>
      <c r="I28" s="48"/>
      <c r="J28" s="48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4"/>
    </row>
    <row r="29" spans="2:23" x14ac:dyDescent="0.25">
      <c r="B29" s="62"/>
      <c r="C29" s="48"/>
      <c r="D29" s="48"/>
      <c r="E29" s="48"/>
      <c r="F29" s="48"/>
      <c r="G29" s="48"/>
      <c r="H29" s="48"/>
      <c r="I29" s="48"/>
      <c r="J29" s="48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4"/>
    </row>
    <row r="30" spans="2:23" x14ac:dyDescent="0.25">
      <c r="B30" s="62"/>
      <c r="C30" s="48"/>
      <c r="D30" s="48"/>
      <c r="E30" s="48"/>
      <c r="F30" s="48"/>
      <c r="G30" s="48"/>
      <c r="H30" s="48"/>
      <c r="I30" s="48"/>
      <c r="J30" s="48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4"/>
    </row>
    <row r="31" spans="2:23" x14ac:dyDescent="0.25">
      <c r="B31" s="62"/>
      <c r="C31" s="48"/>
      <c r="D31" s="48"/>
      <c r="E31" s="48"/>
      <c r="F31" s="48"/>
      <c r="G31" s="48"/>
      <c r="H31" s="48"/>
      <c r="I31" s="48"/>
      <c r="J31" s="48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4"/>
    </row>
    <row r="32" spans="2:23" x14ac:dyDescent="0.25">
      <c r="B32" s="62"/>
      <c r="C32" s="48"/>
      <c r="D32" s="48"/>
      <c r="E32" s="48"/>
      <c r="F32" s="48"/>
      <c r="G32" s="48"/>
      <c r="H32" s="48"/>
      <c r="I32" s="48"/>
      <c r="J32" s="48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4"/>
    </row>
    <row r="33" spans="2:23" x14ac:dyDescent="0.25">
      <c r="B33" s="62"/>
      <c r="C33" s="48"/>
      <c r="D33" s="48"/>
      <c r="E33" s="48"/>
      <c r="F33" s="48"/>
      <c r="G33" s="48"/>
      <c r="H33" s="48"/>
      <c r="I33" s="48"/>
      <c r="J33" s="48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4"/>
    </row>
    <row r="34" spans="2:23" x14ac:dyDescent="0.25">
      <c r="B34" s="62"/>
      <c r="C34" s="48"/>
      <c r="D34" s="48"/>
      <c r="E34" s="48"/>
      <c r="F34" s="48"/>
      <c r="G34" s="48"/>
      <c r="H34" s="48"/>
      <c r="I34" s="48"/>
      <c r="J34" s="48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4"/>
    </row>
    <row r="35" spans="2:23" x14ac:dyDescent="0.25">
      <c r="B35" s="65"/>
      <c r="C35" s="47"/>
      <c r="D35" s="47"/>
      <c r="E35" s="47"/>
      <c r="F35" s="47"/>
      <c r="G35" s="47"/>
      <c r="H35" s="47"/>
      <c r="I35" s="47"/>
      <c r="J35" s="47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4"/>
    </row>
    <row r="36" spans="2:23" x14ac:dyDescent="0.25">
      <c r="B36" s="65"/>
      <c r="C36" s="47"/>
      <c r="D36" s="47"/>
      <c r="E36" s="47"/>
      <c r="F36" s="47"/>
      <c r="G36" s="47"/>
      <c r="H36" s="47"/>
      <c r="I36" s="47"/>
      <c r="J36" s="47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4"/>
    </row>
    <row r="37" spans="2:23" x14ac:dyDescent="0.25">
      <c r="B37" s="65"/>
      <c r="C37" s="47"/>
      <c r="D37" s="47"/>
      <c r="E37" s="47"/>
      <c r="F37" s="47"/>
      <c r="G37" s="47"/>
      <c r="H37" s="47"/>
      <c r="I37" s="47"/>
      <c r="J37" s="47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4"/>
    </row>
    <row r="38" spans="2:23" x14ac:dyDescent="0.25">
      <c r="B38" s="65"/>
      <c r="C38" s="47"/>
      <c r="D38" s="47"/>
      <c r="E38" s="47"/>
      <c r="F38" s="47"/>
      <c r="G38" s="47"/>
      <c r="H38" s="47"/>
      <c r="I38" s="47"/>
      <c r="J38" s="47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4"/>
    </row>
    <row r="39" spans="2:23" x14ac:dyDescent="0.25">
      <c r="B39" s="65"/>
      <c r="C39" s="47"/>
      <c r="D39" s="47"/>
      <c r="E39" s="47"/>
      <c r="F39" s="47"/>
      <c r="G39" s="47"/>
      <c r="H39" s="47"/>
      <c r="I39" s="47"/>
      <c r="J39" s="47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4"/>
    </row>
    <row r="40" spans="2:23" x14ac:dyDescent="0.25">
      <c r="B40" s="65"/>
      <c r="C40" s="47"/>
      <c r="D40" s="47"/>
      <c r="E40" s="47"/>
      <c r="F40" s="47"/>
      <c r="G40" s="47"/>
      <c r="H40" s="47"/>
      <c r="I40" s="47"/>
      <c r="J40" s="47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4"/>
    </row>
    <row r="41" spans="2:23" x14ac:dyDescent="0.25">
      <c r="B41" s="65"/>
      <c r="C41" s="47"/>
      <c r="D41" s="47"/>
      <c r="E41" s="47"/>
      <c r="F41" s="47"/>
      <c r="G41" s="47"/>
      <c r="H41" s="47"/>
      <c r="I41" s="47"/>
      <c r="J41" s="47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4"/>
    </row>
    <row r="42" spans="2:23" x14ac:dyDescent="0.25">
      <c r="B42" s="65"/>
      <c r="C42" s="47"/>
      <c r="D42" s="47"/>
      <c r="E42" s="47"/>
      <c r="F42" s="47"/>
      <c r="G42" s="47"/>
      <c r="H42" s="47"/>
      <c r="I42" s="47"/>
      <c r="J42" s="47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4"/>
    </row>
    <row r="43" spans="2:23" x14ac:dyDescent="0.25">
      <c r="B43" s="65"/>
      <c r="C43" s="47"/>
      <c r="D43" s="47"/>
      <c r="E43" s="47"/>
      <c r="F43" s="47"/>
      <c r="G43" s="47"/>
      <c r="H43" s="47"/>
      <c r="I43" s="47"/>
      <c r="J43" s="47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4"/>
    </row>
    <row r="44" spans="2:23" x14ac:dyDescent="0.25">
      <c r="B44" s="65"/>
      <c r="C44" s="47"/>
      <c r="D44" s="47"/>
      <c r="E44" s="47"/>
      <c r="F44" s="47"/>
      <c r="G44" s="47"/>
      <c r="H44" s="47"/>
      <c r="I44" s="47"/>
      <c r="J44" s="47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4"/>
    </row>
    <row r="45" spans="2:23" x14ac:dyDescent="0.25">
      <c r="B45" s="65"/>
      <c r="C45" s="47"/>
      <c r="D45" s="47"/>
      <c r="E45" s="47"/>
      <c r="F45" s="47"/>
      <c r="G45" s="47"/>
      <c r="H45" s="47"/>
      <c r="I45" s="47"/>
      <c r="J45" s="47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4"/>
    </row>
    <row r="46" spans="2:23" ht="15.75" thickBot="1" x14ac:dyDescent="0.3">
      <c r="B46" s="66"/>
      <c r="C46" s="67"/>
      <c r="D46" s="67"/>
      <c r="E46" s="67"/>
      <c r="F46" s="67"/>
      <c r="G46" s="67"/>
      <c r="H46" s="67"/>
      <c r="I46" s="67"/>
      <c r="J46" s="6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9"/>
    </row>
    <row r="47" spans="2:23" ht="15.75" thickBot="1" x14ac:dyDescent="0.3"/>
    <row r="48" spans="2:23" x14ac:dyDescent="0.25">
      <c r="B48" s="70"/>
      <c r="C48" s="71"/>
      <c r="D48" s="71"/>
      <c r="E48" s="71"/>
      <c r="F48" s="71"/>
      <c r="G48" s="71"/>
      <c r="H48" s="71"/>
      <c r="I48" s="71"/>
      <c r="J48" s="71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1"/>
    </row>
    <row r="49" spans="2:23" x14ac:dyDescent="0.25">
      <c r="B49" s="65"/>
      <c r="C49" s="47"/>
      <c r="D49" s="47"/>
      <c r="E49" s="47"/>
      <c r="F49" s="47"/>
      <c r="G49" s="47"/>
      <c r="H49" s="47"/>
      <c r="I49" s="47"/>
      <c r="J49" s="47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4"/>
    </row>
    <row r="50" spans="2:23" x14ac:dyDescent="0.25">
      <c r="B50" s="65"/>
      <c r="C50" s="47"/>
      <c r="D50" s="47"/>
      <c r="E50" s="47"/>
      <c r="F50" s="47"/>
      <c r="G50" s="47"/>
      <c r="H50" s="47"/>
      <c r="I50" s="47"/>
      <c r="J50" s="47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4"/>
    </row>
    <row r="51" spans="2:23" x14ac:dyDescent="0.25">
      <c r="B51" s="65"/>
      <c r="C51" s="47"/>
      <c r="D51" s="47"/>
      <c r="E51" s="47"/>
      <c r="F51" s="47"/>
      <c r="G51" s="47"/>
      <c r="H51" s="47"/>
      <c r="I51" s="47"/>
      <c r="J51" s="47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4"/>
    </row>
    <row r="52" spans="2:23" x14ac:dyDescent="0.25">
      <c r="B52" s="65"/>
      <c r="C52" s="47"/>
      <c r="D52" s="47"/>
      <c r="E52" s="47"/>
      <c r="F52" s="47"/>
      <c r="G52" s="47"/>
      <c r="H52" s="47"/>
      <c r="I52" s="47"/>
      <c r="J52" s="47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4"/>
    </row>
    <row r="53" spans="2:23" x14ac:dyDescent="0.25">
      <c r="B53" s="65"/>
      <c r="C53" s="47"/>
      <c r="D53" s="47"/>
      <c r="E53" s="47"/>
      <c r="F53" s="47"/>
      <c r="G53" s="47"/>
      <c r="H53" s="47"/>
      <c r="I53" s="47"/>
      <c r="J53" s="47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4"/>
    </row>
    <row r="54" spans="2:23" x14ac:dyDescent="0.25">
      <c r="B54" s="65"/>
      <c r="C54" s="47"/>
      <c r="D54" s="47"/>
      <c r="E54" s="47"/>
      <c r="F54" s="47"/>
      <c r="G54" s="47"/>
      <c r="H54" s="47"/>
      <c r="I54" s="47"/>
      <c r="J54" s="4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4"/>
    </row>
    <row r="55" spans="2:23" x14ac:dyDescent="0.25">
      <c r="B55" s="65"/>
      <c r="C55" s="47"/>
      <c r="D55" s="47"/>
      <c r="E55" s="47"/>
      <c r="F55" s="47"/>
      <c r="G55" s="47"/>
      <c r="H55" s="47"/>
      <c r="I55" s="47"/>
      <c r="J55" s="47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4"/>
    </row>
    <row r="56" spans="2:23" x14ac:dyDescent="0.25">
      <c r="B56" s="65"/>
      <c r="C56" s="47"/>
      <c r="D56" s="47"/>
      <c r="E56" s="47"/>
      <c r="F56" s="47"/>
      <c r="G56" s="47"/>
      <c r="H56" s="47"/>
      <c r="I56" s="47"/>
      <c r="J56" s="47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4"/>
    </row>
    <row r="57" spans="2:23" x14ac:dyDescent="0.25">
      <c r="B57" s="65"/>
      <c r="C57" s="47"/>
      <c r="D57" s="47"/>
      <c r="E57" s="47"/>
      <c r="F57" s="47"/>
      <c r="G57" s="47"/>
      <c r="H57" s="47"/>
      <c r="I57" s="47"/>
      <c r="J57" s="47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4"/>
    </row>
    <row r="58" spans="2:23" x14ac:dyDescent="0.25">
      <c r="B58" s="65"/>
      <c r="C58" s="47"/>
      <c r="D58" s="47"/>
      <c r="E58" s="47"/>
      <c r="F58" s="47"/>
      <c r="G58" s="47"/>
      <c r="H58" s="47"/>
      <c r="I58" s="47"/>
      <c r="J58" s="47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4"/>
    </row>
    <row r="59" spans="2:23" x14ac:dyDescent="0.25">
      <c r="B59" s="65"/>
      <c r="C59" s="47"/>
      <c r="D59" s="47"/>
      <c r="E59" s="47"/>
      <c r="F59" s="47"/>
      <c r="G59" s="47"/>
      <c r="H59" s="47"/>
      <c r="I59" s="47"/>
      <c r="J59" s="47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4"/>
    </row>
    <row r="60" spans="2:23" x14ac:dyDescent="0.25">
      <c r="B60" s="65"/>
      <c r="C60" s="47"/>
      <c r="D60" s="47"/>
      <c r="E60" s="47"/>
      <c r="F60" s="47"/>
      <c r="G60" s="47"/>
      <c r="H60" s="47"/>
      <c r="I60" s="47"/>
      <c r="J60" s="47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4"/>
    </row>
    <row r="61" spans="2:23" x14ac:dyDescent="0.25">
      <c r="B61" s="65"/>
      <c r="C61" s="47"/>
      <c r="D61" s="47"/>
      <c r="E61" s="47"/>
      <c r="F61" s="47"/>
      <c r="G61" s="47"/>
      <c r="H61" s="47"/>
      <c r="I61" s="47"/>
      <c r="J61" s="47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4"/>
    </row>
    <row r="62" spans="2:23" x14ac:dyDescent="0.25">
      <c r="B62" s="65"/>
      <c r="C62" s="47"/>
      <c r="D62" s="47"/>
      <c r="E62" s="47"/>
      <c r="F62" s="47"/>
      <c r="G62" s="47"/>
      <c r="H62" s="47"/>
      <c r="I62" s="47"/>
      <c r="J62" s="47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4"/>
    </row>
    <row r="63" spans="2:23" x14ac:dyDescent="0.25">
      <c r="B63" s="65"/>
      <c r="C63" s="47"/>
      <c r="D63" s="47"/>
      <c r="E63" s="47"/>
      <c r="F63" s="47"/>
      <c r="G63" s="47"/>
      <c r="H63" s="47"/>
      <c r="I63" s="47"/>
      <c r="J63" s="47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4"/>
    </row>
    <row r="64" spans="2:23" x14ac:dyDescent="0.25">
      <c r="B64" s="65"/>
      <c r="C64" s="47"/>
      <c r="D64" s="47"/>
      <c r="E64" s="47"/>
      <c r="F64" s="47"/>
      <c r="G64" s="47"/>
      <c r="H64" s="47"/>
      <c r="I64" s="47"/>
      <c r="J64" s="47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4"/>
    </row>
    <row r="65" spans="2:23" x14ac:dyDescent="0.25">
      <c r="B65" s="65"/>
      <c r="C65" s="47"/>
      <c r="D65" s="47"/>
      <c r="E65" s="47"/>
      <c r="F65" s="47"/>
      <c r="G65" s="47"/>
      <c r="H65" s="47"/>
      <c r="I65" s="47"/>
      <c r="J65" s="47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4"/>
    </row>
    <row r="66" spans="2:23" x14ac:dyDescent="0.25">
      <c r="B66" s="65"/>
      <c r="C66" s="47"/>
      <c r="D66" s="47"/>
      <c r="E66" s="47"/>
      <c r="F66" s="47"/>
      <c r="G66" s="47"/>
      <c r="H66" s="47"/>
      <c r="I66" s="47"/>
      <c r="J66" s="47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4"/>
    </row>
    <row r="67" spans="2:23" x14ac:dyDescent="0.25">
      <c r="B67" s="65"/>
      <c r="C67" s="47"/>
      <c r="D67" s="47"/>
      <c r="E67" s="47"/>
      <c r="F67" s="47"/>
      <c r="G67" s="47"/>
      <c r="H67" s="47"/>
      <c r="I67" s="47"/>
      <c r="J67" s="47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4"/>
    </row>
    <row r="68" spans="2:23" x14ac:dyDescent="0.25">
      <c r="B68" s="65"/>
      <c r="C68" s="47"/>
      <c r="D68" s="47"/>
      <c r="E68" s="47"/>
      <c r="F68" s="47"/>
      <c r="G68" s="47"/>
      <c r="H68" s="47"/>
      <c r="I68" s="47"/>
      <c r="J68" s="47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4"/>
    </row>
    <row r="69" spans="2:23" x14ac:dyDescent="0.25">
      <c r="B69" s="65"/>
      <c r="C69" s="47"/>
      <c r="D69" s="47"/>
      <c r="E69" s="47"/>
      <c r="F69" s="47"/>
      <c r="G69" s="47"/>
      <c r="H69" s="47"/>
      <c r="I69" s="47"/>
      <c r="J69" s="47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4"/>
    </row>
    <row r="70" spans="2:23" x14ac:dyDescent="0.25">
      <c r="B70" s="65"/>
      <c r="C70" s="47"/>
      <c r="D70" s="47"/>
      <c r="E70" s="47"/>
      <c r="F70" s="47"/>
      <c r="G70" s="47"/>
      <c r="H70" s="47"/>
      <c r="I70" s="47"/>
      <c r="J70" s="47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4"/>
    </row>
    <row r="71" spans="2:23" x14ac:dyDescent="0.25">
      <c r="B71" s="65"/>
      <c r="C71" s="47"/>
      <c r="D71" s="47"/>
      <c r="E71" s="47"/>
      <c r="F71" s="47"/>
      <c r="G71" s="47"/>
      <c r="H71" s="47"/>
      <c r="I71" s="47"/>
      <c r="J71" s="47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4"/>
    </row>
    <row r="72" spans="2:23" x14ac:dyDescent="0.25">
      <c r="B72" s="65"/>
      <c r="C72" s="47"/>
      <c r="D72" s="47"/>
      <c r="E72" s="47"/>
      <c r="F72" s="47"/>
      <c r="G72" s="47"/>
      <c r="H72" s="47"/>
      <c r="I72" s="47"/>
      <c r="J72" s="47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4"/>
    </row>
    <row r="73" spans="2:23" x14ac:dyDescent="0.25">
      <c r="B73" s="65"/>
      <c r="C73" s="47"/>
      <c r="D73" s="47"/>
      <c r="E73" s="47"/>
      <c r="F73" s="47"/>
      <c r="G73" s="47"/>
      <c r="H73" s="47"/>
      <c r="I73" s="47"/>
      <c r="J73" s="47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4"/>
    </row>
    <row r="74" spans="2:23" x14ac:dyDescent="0.25">
      <c r="B74" s="65"/>
      <c r="C74" s="47"/>
      <c r="D74" s="47"/>
      <c r="E74" s="47"/>
      <c r="F74" s="47"/>
      <c r="G74" s="47"/>
      <c r="H74" s="47"/>
      <c r="I74" s="47"/>
      <c r="J74" s="47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4"/>
    </row>
    <row r="75" spans="2:23" x14ac:dyDescent="0.25">
      <c r="B75" s="65"/>
      <c r="C75" s="47"/>
      <c r="D75" s="47"/>
      <c r="E75" s="47"/>
      <c r="F75" s="47"/>
      <c r="G75" s="47"/>
      <c r="H75" s="47"/>
      <c r="I75" s="47"/>
      <c r="J75" s="47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4"/>
    </row>
    <row r="76" spans="2:23" x14ac:dyDescent="0.25">
      <c r="B76" s="65"/>
      <c r="C76" s="47"/>
      <c r="D76" s="47"/>
      <c r="E76" s="47"/>
      <c r="F76" s="47"/>
      <c r="G76" s="47"/>
      <c r="H76" s="47"/>
      <c r="I76" s="47"/>
      <c r="J76" s="47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4"/>
    </row>
    <row r="77" spans="2:23" x14ac:dyDescent="0.25">
      <c r="B77" s="65"/>
      <c r="C77" s="47"/>
      <c r="D77" s="47"/>
      <c r="E77" s="47"/>
      <c r="F77" s="47"/>
      <c r="G77" s="47"/>
      <c r="H77" s="47"/>
      <c r="I77" s="47"/>
      <c r="J77" s="47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4"/>
    </row>
    <row r="78" spans="2:23" ht="15.75" thickBot="1" x14ac:dyDescent="0.3">
      <c r="B78" s="66"/>
      <c r="C78" s="67"/>
      <c r="D78" s="67"/>
      <c r="E78" s="67"/>
      <c r="F78" s="67"/>
      <c r="G78" s="67"/>
      <c r="H78" s="67"/>
      <c r="I78" s="67"/>
      <c r="J78" s="67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9"/>
    </row>
    <row r="79" spans="2:23" ht="15.75" thickBot="1" x14ac:dyDescent="0.3"/>
    <row r="80" spans="2:23" x14ac:dyDescent="0.25">
      <c r="B80" s="70"/>
      <c r="C80" s="71"/>
      <c r="D80" s="71"/>
      <c r="E80" s="71"/>
      <c r="F80" s="71"/>
      <c r="G80" s="71"/>
      <c r="H80" s="71"/>
      <c r="I80" s="71"/>
      <c r="J80" s="71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1"/>
    </row>
    <row r="81" spans="2:23" x14ac:dyDescent="0.25">
      <c r="B81" s="65"/>
      <c r="C81" s="47"/>
      <c r="D81" s="47"/>
      <c r="E81" s="47"/>
      <c r="F81" s="47"/>
      <c r="G81" s="47"/>
      <c r="H81" s="47"/>
      <c r="I81" s="47"/>
      <c r="J81" s="47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4"/>
    </row>
    <row r="82" spans="2:23" x14ac:dyDescent="0.25">
      <c r="B82" s="65"/>
      <c r="C82" s="47"/>
      <c r="D82" s="47"/>
      <c r="E82" s="47"/>
      <c r="F82" s="47"/>
      <c r="G82" s="47"/>
      <c r="H82" s="47"/>
      <c r="I82" s="47"/>
      <c r="J82" s="47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4"/>
    </row>
    <row r="83" spans="2:23" x14ac:dyDescent="0.25">
      <c r="B83" s="65"/>
      <c r="C83" s="47"/>
      <c r="D83" s="47"/>
      <c r="E83" s="47"/>
      <c r="F83" s="47"/>
      <c r="G83" s="47"/>
      <c r="H83" s="47"/>
      <c r="I83" s="47"/>
      <c r="J83" s="47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4"/>
    </row>
    <row r="84" spans="2:23" x14ac:dyDescent="0.25">
      <c r="B84" s="65"/>
      <c r="C84" s="47"/>
      <c r="D84" s="47"/>
      <c r="E84" s="47"/>
      <c r="F84" s="47"/>
      <c r="G84" s="47"/>
      <c r="H84" s="47"/>
      <c r="I84" s="47"/>
      <c r="J84" s="47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4"/>
    </row>
    <row r="85" spans="2:23" x14ac:dyDescent="0.25">
      <c r="B85" s="65"/>
      <c r="C85" s="47"/>
      <c r="D85" s="47"/>
      <c r="E85" s="47"/>
      <c r="F85" s="47"/>
      <c r="G85" s="47"/>
      <c r="H85" s="47"/>
      <c r="I85" s="47"/>
      <c r="J85" s="47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4"/>
    </row>
    <row r="86" spans="2:23" x14ac:dyDescent="0.25">
      <c r="B86" s="65"/>
      <c r="C86" s="47"/>
      <c r="D86" s="47"/>
      <c r="E86" s="47"/>
      <c r="F86" s="47"/>
      <c r="G86" s="47"/>
      <c r="H86" s="47"/>
      <c r="I86" s="47"/>
      <c r="J86" s="47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4"/>
    </row>
    <row r="87" spans="2:23" x14ac:dyDescent="0.25">
      <c r="B87" s="65"/>
      <c r="C87" s="47"/>
      <c r="D87" s="47"/>
      <c r="E87" s="47"/>
      <c r="F87" s="47"/>
      <c r="G87" s="47"/>
      <c r="H87" s="47"/>
      <c r="I87" s="47"/>
      <c r="J87" s="47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4"/>
    </row>
    <row r="88" spans="2:23" x14ac:dyDescent="0.25">
      <c r="B88" s="65"/>
      <c r="C88" s="47"/>
      <c r="D88" s="47"/>
      <c r="E88" s="47"/>
      <c r="F88" s="47"/>
      <c r="G88" s="47"/>
      <c r="H88" s="47"/>
      <c r="I88" s="47"/>
      <c r="J88" s="47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4"/>
    </row>
    <row r="89" spans="2:23" x14ac:dyDescent="0.25">
      <c r="B89" s="65"/>
      <c r="C89" s="47"/>
      <c r="D89" s="47"/>
      <c r="E89" s="47"/>
      <c r="F89" s="47"/>
      <c r="G89" s="47"/>
      <c r="H89" s="47"/>
      <c r="I89" s="47"/>
      <c r="J89" s="47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4"/>
    </row>
    <row r="90" spans="2:23" x14ac:dyDescent="0.25">
      <c r="B90" s="65"/>
      <c r="C90" s="47"/>
      <c r="D90" s="47"/>
      <c r="E90" s="47"/>
      <c r="F90" s="47"/>
      <c r="G90" s="47"/>
      <c r="H90" s="47"/>
      <c r="I90" s="47"/>
      <c r="J90" s="47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4"/>
    </row>
    <row r="91" spans="2:23" x14ac:dyDescent="0.25">
      <c r="B91" s="65"/>
      <c r="C91" s="47"/>
      <c r="D91" s="47"/>
      <c r="E91" s="47"/>
      <c r="F91" s="47"/>
      <c r="G91" s="47"/>
      <c r="H91" s="47"/>
      <c r="I91" s="47"/>
      <c r="J91" s="47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4"/>
    </row>
    <row r="92" spans="2:23" x14ac:dyDescent="0.25">
      <c r="B92" s="65"/>
      <c r="C92" s="47"/>
      <c r="D92" s="47"/>
      <c r="E92" s="47"/>
      <c r="F92" s="47"/>
      <c r="G92" s="47"/>
      <c r="H92" s="47"/>
      <c r="I92" s="47"/>
      <c r="J92" s="47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/>
    </row>
    <row r="93" spans="2:23" x14ac:dyDescent="0.25">
      <c r="B93" s="65"/>
      <c r="C93" s="47"/>
      <c r="D93" s="47"/>
      <c r="E93" s="47"/>
      <c r="F93" s="47"/>
      <c r="G93" s="47"/>
      <c r="H93" s="47"/>
      <c r="I93" s="47"/>
      <c r="J93" s="47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4"/>
    </row>
    <row r="94" spans="2:23" x14ac:dyDescent="0.25">
      <c r="B94" s="65"/>
      <c r="C94" s="47"/>
      <c r="D94" s="47"/>
      <c r="E94" s="47"/>
      <c r="F94" s="47"/>
      <c r="G94" s="47"/>
      <c r="H94" s="47"/>
      <c r="I94" s="47"/>
      <c r="J94" s="47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4"/>
    </row>
    <row r="95" spans="2:23" x14ac:dyDescent="0.25">
      <c r="B95" s="65"/>
      <c r="C95" s="47"/>
      <c r="D95" s="47"/>
      <c r="E95" s="47"/>
      <c r="F95" s="47"/>
      <c r="G95" s="47"/>
      <c r="H95" s="47"/>
      <c r="I95" s="47"/>
      <c r="J95" s="47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4"/>
    </row>
    <row r="96" spans="2:23" x14ac:dyDescent="0.25">
      <c r="B96" s="65"/>
      <c r="C96" s="47"/>
      <c r="D96" s="47"/>
      <c r="E96" s="47"/>
      <c r="F96" s="47"/>
      <c r="G96" s="47"/>
      <c r="H96" s="47"/>
      <c r="I96" s="47"/>
      <c r="J96" s="47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4"/>
    </row>
    <row r="97" spans="2:23" x14ac:dyDescent="0.25">
      <c r="B97" s="65"/>
      <c r="C97" s="47"/>
      <c r="D97" s="47"/>
      <c r="E97" s="47"/>
      <c r="F97" s="47"/>
      <c r="G97" s="47"/>
      <c r="H97" s="47"/>
      <c r="I97" s="47"/>
      <c r="J97" s="47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4"/>
    </row>
    <row r="98" spans="2:23" x14ac:dyDescent="0.25">
      <c r="B98" s="65"/>
      <c r="C98" s="47"/>
      <c r="D98" s="47"/>
      <c r="E98" s="47"/>
      <c r="F98" s="47"/>
      <c r="G98" s="47"/>
      <c r="H98" s="47"/>
      <c r="I98" s="47"/>
      <c r="J98" s="47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4"/>
    </row>
    <row r="99" spans="2:23" x14ac:dyDescent="0.25">
      <c r="B99" s="65"/>
      <c r="C99" s="47"/>
      <c r="D99" s="47"/>
      <c r="E99" s="47"/>
      <c r="F99" s="47"/>
      <c r="G99" s="47"/>
      <c r="H99" s="47"/>
      <c r="I99" s="47"/>
      <c r="J99" s="47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4"/>
    </row>
    <row r="100" spans="2:23" x14ac:dyDescent="0.25">
      <c r="B100" s="65"/>
      <c r="C100" s="47"/>
      <c r="D100" s="47"/>
      <c r="E100" s="47"/>
      <c r="F100" s="47"/>
      <c r="G100" s="47"/>
      <c r="H100" s="47"/>
      <c r="I100" s="47"/>
      <c r="J100" s="47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4"/>
    </row>
    <row r="101" spans="2:23" x14ac:dyDescent="0.25">
      <c r="B101" s="65"/>
      <c r="C101" s="47"/>
      <c r="D101" s="47"/>
      <c r="E101" s="47"/>
      <c r="F101" s="47"/>
      <c r="G101" s="47"/>
      <c r="H101" s="47"/>
      <c r="I101" s="47"/>
      <c r="J101" s="47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4"/>
    </row>
    <row r="102" spans="2:23" x14ac:dyDescent="0.25">
      <c r="B102" s="65"/>
      <c r="C102" s="47"/>
      <c r="D102" s="47"/>
      <c r="E102" s="47"/>
      <c r="F102" s="47"/>
      <c r="G102" s="47"/>
      <c r="H102" s="47"/>
      <c r="I102" s="47"/>
      <c r="J102" s="47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4"/>
    </row>
    <row r="103" spans="2:23" x14ac:dyDescent="0.25">
      <c r="B103" s="65"/>
      <c r="C103" s="47"/>
      <c r="D103" s="47"/>
      <c r="E103" s="47"/>
      <c r="F103" s="47"/>
      <c r="G103" s="47"/>
      <c r="H103" s="47"/>
      <c r="I103" s="47"/>
      <c r="J103" s="47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4"/>
    </row>
    <row r="104" spans="2:23" x14ac:dyDescent="0.25">
      <c r="B104" s="65"/>
      <c r="C104" s="47"/>
      <c r="D104" s="47"/>
      <c r="E104" s="47"/>
      <c r="F104" s="47"/>
      <c r="G104" s="47"/>
      <c r="H104" s="47"/>
      <c r="I104" s="47"/>
      <c r="J104" s="47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4"/>
    </row>
    <row r="105" spans="2:23" x14ac:dyDescent="0.25">
      <c r="B105" s="65"/>
      <c r="C105" s="47"/>
      <c r="D105" s="47"/>
      <c r="E105" s="47"/>
      <c r="F105" s="47"/>
      <c r="G105" s="47"/>
      <c r="H105" s="47"/>
      <c r="I105" s="47"/>
      <c r="J105" s="47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4"/>
    </row>
    <row r="106" spans="2:23" x14ac:dyDescent="0.25">
      <c r="B106" s="65"/>
      <c r="C106" s="47"/>
      <c r="D106" s="47"/>
      <c r="E106" s="47"/>
      <c r="F106" s="47"/>
      <c r="G106" s="47"/>
      <c r="H106" s="47"/>
      <c r="I106" s="47"/>
      <c r="J106" s="47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4"/>
    </row>
    <row r="107" spans="2:23" x14ac:dyDescent="0.25">
      <c r="B107" s="65"/>
      <c r="C107" s="47"/>
      <c r="D107" s="47"/>
      <c r="E107" s="47"/>
      <c r="F107" s="47"/>
      <c r="G107" s="47"/>
      <c r="H107" s="47"/>
      <c r="I107" s="47"/>
      <c r="J107" s="47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4"/>
    </row>
    <row r="108" spans="2:23" x14ac:dyDescent="0.25">
      <c r="B108" s="65"/>
      <c r="C108" s="47"/>
      <c r="D108" s="47"/>
      <c r="E108" s="47"/>
      <c r="F108" s="47"/>
      <c r="G108" s="47"/>
      <c r="H108" s="47"/>
      <c r="I108" s="47"/>
      <c r="J108" s="47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4"/>
    </row>
    <row r="109" spans="2:23" x14ac:dyDescent="0.25">
      <c r="B109" s="65"/>
      <c r="C109" s="47"/>
      <c r="D109" s="47"/>
      <c r="E109" s="47"/>
      <c r="F109" s="47"/>
      <c r="G109" s="47"/>
      <c r="H109" s="47"/>
      <c r="I109" s="47"/>
      <c r="J109" s="47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4"/>
    </row>
    <row r="110" spans="2:23" ht="15.75" thickBot="1" x14ac:dyDescent="0.3">
      <c r="B110" s="66"/>
      <c r="C110" s="67"/>
      <c r="D110" s="67"/>
      <c r="E110" s="67"/>
      <c r="F110" s="67"/>
      <c r="G110" s="67"/>
      <c r="H110" s="67"/>
      <c r="I110" s="67"/>
      <c r="J110" s="67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9"/>
    </row>
    <row r="111" spans="2:23" ht="15.75" thickBot="1" x14ac:dyDescent="0.3"/>
    <row r="112" spans="2:23" x14ac:dyDescent="0.25">
      <c r="B112" s="70"/>
      <c r="C112" s="71"/>
      <c r="D112" s="71"/>
      <c r="E112" s="71"/>
      <c r="F112" s="71"/>
      <c r="G112" s="71"/>
      <c r="H112" s="71"/>
      <c r="I112" s="71"/>
      <c r="J112" s="71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1"/>
    </row>
    <row r="113" spans="2:23" x14ac:dyDescent="0.25">
      <c r="B113" s="65"/>
      <c r="C113" s="47"/>
      <c r="D113" s="47"/>
      <c r="E113" s="47"/>
      <c r="F113" s="47"/>
      <c r="G113" s="47"/>
      <c r="H113" s="47"/>
      <c r="I113" s="47"/>
      <c r="J113" s="47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4"/>
    </row>
    <row r="114" spans="2:23" x14ac:dyDescent="0.25">
      <c r="B114" s="65"/>
      <c r="C114" s="47"/>
      <c r="D114" s="47"/>
      <c r="E114" s="47"/>
      <c r="F114" s="47"/>
      <c r="G114" s="47"/>
      <c r="H114" s="47"/>
      <c r="I114" s="47"/>
      <c r="J114" s="47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4"/>
    </row>
    <row r="115" spans="2:23" x14ac:dyDescent="0.25">
      <c r="B115" s="65"/>
      <c r="C115" s="47"/>
      <c r="D115" s="47"/>
      <c r="E115" s="47"/>
      <c r="F115" s="47"/>
      <c r="G115" s="47"/>
      <c r="H115" s="47"/>
      <c r="I115" s="47"/>
      <c r="J115" s="47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4"/>
    </row>
    <row r="116" spans="2:23" x14ac:dyDescent="0.25">
      <c r="B116" s="65"/>
      <c r="C116" s="47"/>
      <c r="D116" s="47"/>
      <c r="E116" s="47"/>
      <c r="F116" s="47"/>
      <c r="G116" s="47"/>
      <c r="H116" s="47"/>
      <c r="I116" s="47"/>
      <c r="J116" s="47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4"/>
    </row>
    <row r="117" spans="2:23" x14ac:dyDescent="0.25">
      <c r="B117" s="65"/>
      <c r="C117" s="47"/>
      <c r="D117" s="47"/>
      <c r="E117" s="47"/>
      <c r="F117" s="47"/>
      <c r="G117" s="47"/>
      <c r="H117" s="47"/>
      <c r="I117" s="47"/>
      <c r="J117" s="47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4"/>
    </row>
    <row r="118" spans="2:23" x14ac:dyDescent="0.25">
      <c r="B118" s="65"/>
      <c r="C118" s="47"/>
      <c r="D118" s="47"/>
      <c r="E118" s="47"/>
      <c r="F118" s="47"/>
      <c r="G118" s="47"/>
      <c r="H118" s="47"/>
      <c r="I118" s="47"/>
      <c r="J118" s="47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4"/>
    </row>
    <row r="119" spans="2:23" x14ac:dyDescent="0.25">
      <c r="B119" s="65"/>
      <c r="C119" s="47"/>
      <c r="D119" s="47"/>
      <c r="E119" s="47"/>
      <c r="F119" s="47"/>
      <c r="G119" s="47"/>
      <c r="H119" s="47"/>
      <c r="I119" s="47"/>
      <c r="J119" s="47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4"/>
    </row>
    <row r="120" spans="2:23" x14ac:dyDescent="0.25">
      <c r="B120" s="65"/>
      <c r="C120" s="47"/>
      <c r="D120" s="47"/>
      <c r="E120" s="47"/>
      <c r="F120" s="47"/>
      <c r="G120" s="47"/>
      <c r="H120" s="47"/>
      <c r="I120" s="47"/>
      <c r="J120" s="47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4"/>
    </row>
    <row r="121" spans="2:23" x14ac:dyDescent="0.25">
      <c r="B121" s="65"/>
      <c r="C121" s="47"/>
      <c r="D121" s="47"/>
      <c r="E121" s="47"/>
      <c r="F121" s="47"/>
      <c r="G121" s="47"/>
      <c r="H121" s="47"/>
      <c r="I121" s="47"/>
      <c r="J121" s="47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4"/>
    </row>
    <row r="122" spans="2:23" x14ac:dyDescent="0.25">
      <c r="B122" s="65"/>
      <c r="C122" s="47"/>
      <c r="D122" s="47"/>
      <c r="E122" s="47"/>
      <c r="F122" s="47"/>
      <c r="G122" s="47"/>
      <c r="H122" s="47"/>
      <c r="I122" s="47"/>
      <c r="J122" s="47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4"/>
    </row>
    <row r="123" spans="2:23" x14ac:dyDescent="0.25">
      <c r="B123" s="65"/>
      <c r="C123" s="47"/>
      <c r="D123" s="47"/>
      <c r="E123" s="47"/>
      <c r="F123" s="47"/>
      <c r="G123" s="47"/>
      <c r="H123" s="47"/>
      <c r="I123" s="47"/>
      <c r="J123" s="47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4"/>
    </row>
    <row r="124" spans="2:23" x14ac:dyDescent="0.25">
      <c r="B124" s="65"/>
      <c r="C124" s="47"/>
      <c r="D124" s="47"/>
      <c r="E124" s="47"/>
      <c r="F124" s="47"/>
      <c r="G124" s="47"/>
      <c r="H124" s="47"/>
      <c r="I124" s="47"/>
      <c r="J124" s="47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4"/>
    </row>
    <row r="125" spans="2:23" x14ac:dyDescent="0.25">
      <c r="B125" s="65"/>
      <c r="C125" s="47"/>
      <c r="D125" s="47"/>
      <c r="E125" s="47"/>
      <c r="F125" s="47"/>
      <c r="G125" s="47"/>
      <c r="H125" s="47"/>
      <c r="I125" s="47"/>
      <c r="J125" s="47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4"/>
    </row>
    <row r="126" spans="2:23" x14ac:dyDescent="0.25">
      <c r="B126" s="65"/>
      <c r="C126" s="47"/>
      <c r="D126" s="47"/>
      <c r="E126" s="47"/>
      <c r="F126" s="47"/>
      <c r="G126" s="47"/>
      <c r="H126" s="47"/>
      <c r="I126" s="47"/>
      <c r="J126" s="47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4"/>
    </row>
    <row r="127" spans="2:23" x14ac:dyDescent="0.25">
      <c r="B127" s="65"/>
      <c r="C127" s="47"/>
      <c r="D127" s="47"/>
      <c r="E127" s="47"/>
      <c r="F127" s="47"/>
      <c r="G127" s="47"/>
      <c r="H127" s="47"/>
      <c r="I127" s="47"/>
      <c r="J127" s="47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4"/>
    </row>
    <row r="128" spans="2:23" x14ac:dyDescent="0.25">
      <c r="B128" s="65"/>
      <c r="C128" s="47"/>
      <c r="D128" s="47"/>
      <c r="E128" s="47"/>
      <c r="F128" s="47"/>
      <c r="G128" s="47"/>
      <c r="H128" s="47"/>
      <c r="I128" s="47"/>
      <c r="J128" s="47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4"/>
    </row>
    <row r="129" spans="2:23" x14ac:dyDescent="0.25">
      <c r="B129" s="65"/>
      <c r="C129" s="47"/>
      <c r="D129" s="47"/>
      <c r="E129" s="47"/>
      <c r="F129" s="47"/>
      <c r="G129" s="47"/>
      <c r="H129" s="47"/>
      <c r="I129" s="47"/>
      <c r="J129" s="47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4"/>
    </row>
    <row r="130" spans="2:23" x14ac:dyDescent="0.25">
      <c r="B130" s="65"/>
      <c r="C130" s="47"/>
      <c r="D130" s="47"/>
      <c r="E130" s="47"/>
      <c r="F130" s="47"/>
      <c r="G130" s="47"/>
      <c r="H130" s="47"/>
      <c r="I130" s="47"/>
      <c r="J130" s="47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4"/>
    </row>
    <row r="131" spans="2:23" x14ac:dyDescent="0.25">
      <c r="B131" s="65"/>
      <c r="C131" s="47"/>
      <c r="D131" s="47"/>
      <c r="E131" s="47"/>
      <c r="F131" s="47"/>
      <c r="G131" s="47"/>
      <c r="H131" s="47"/>
      <c r="I131" s="47"/>
      <c r="J131" s="47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4"/>
    </row>
    <row r="132" spans="2:23" x14ac:dyDescent="0.25">
      <c r="B132" s="65"/>
      <c r="C132" s="47"/>
      <c r="D132" s="47"/>
      <c r="E132" s="47"/>
      <c r="F132" s="47"/>
      <c r="G132" s="47"/>
      <c r="H132" s="47"/>
      <c r="I132" s="47"/>
      <c r="J132" s="47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4"/>
    </row>
    <row r="133" spans="2:23" x14ac:dyDescent="0.25">
      <c r="B133" s="65"/>
      <c r="C133" s="47"/>
      <c r="D133" s="47"/>
      <c r="E133" s="47"/>
      <c r="F133" s="47"/>
      <c r="G133" s="47"/>
      <c r="H133" s="47"/>
      <c r="I133" s="47"/>
      <c r="J133" s="47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4"/>
    </row>
    <row r="134" spans="2:23" x14ac:dyDescent="0.25">
      <c r="B134" s="65"/>
      <c r="C134" s="47"/>
      <c r="D134" s="47"/>
      <c r="E134" s="47"/>
      <c r="F134" s="47"/>
      <c r="G134" s="47"/>
      <c r="H134" s="47"/>
      <c r="I134" s="47"/>
      <c r="J134" s="47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4"/>
    </row>
    <row r="135" spans="2:23" x14ac:dyDescent="0.25">
      <c r="B135" s="65"/>
      <c r="C135" s="47"/>
      <c r="D135" s="47"/>
      <c r="E135" s="47"/>
      <c r="F135" s="47"/>
      <c r="G135" s="47"/>
      <c r="H135" s="47"/>
      <c r="I135" s="47"/>
      <c r="J135" s="47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4"/>
    </row>
    <row r="136" spans="2:23" x14ac:dyDescent="0.25">
      <c r="B136" s="65"/>
      <c r="C136" s="47"/>
      <c r="D136" s="47"/>
      <c r="E136" s="47"/>
      <c r="F136" s="47"/>
      <c r="G136" s="47"/>
      <c r="H136" s="47"/>
      <c r="I136" s="47"/>
      <c r="J136" s="47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4"/>
    </row>
    <row r="137" spans="2:23" x14ac:dyDescent="0.25">
      <c r="B137" s="65"/>
      <c r="C137" s="47"/>
      <c r="D137" s="47"/>
      <c r="E137" s="47"/>
      <c r="F137" s="47"/>
      <c r="G137" s="47"/>
      <c r="H137" s="47"/>
      <c r="I137" s="47"/>
      <c r="J137" s="47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/>
    </row>
    <row r="138" spans="2:23" x14ac:dyDescent="0.25">
      <c r="B138" s="65"/>
      <c r="C138" s="47"/>
      <c r="D138" s="47"/>
      <c r="E138" s="47"/>
      <c r="F138" s="47"/>
      <c r="G138" s="47"/>
      <c r="H138" s="47"/>
      <c r="I138" s="47"/>
      <c r="J138" s="47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4"/>
    </row>
    <row r="139" spans="2:23" x14ac:dyDescent="0.25">
      <c r="B139" s="65"/>
      <c r="C139" s="47"/>
      <c r="D139" s="47"/>
      <c r="E139" s="47"/>
      <c r="F139" s="47"/>
      <c r="G139" s="47"/>
      <c r="H139" s="47"/>
      <c r="I139" s="47"/>
      <c r="J139" s="47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4"/>
    </row>
    <row r="140" spans="2:23" x14ac:dyDescent="0.25">
      <c r="B140" s="65"/>
      <c r="C140" s="47"/>
      <c r="D140" s="47"/>
      <c r="E140" s="47"/>
      <c r="F140" s="47"/>
      <c r="G140" s="47"/>
      <c r="H140" s="47"/>
      <c r="I140" s="47"/>
      <c r="J140" s="47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4"/>
    </row>
    <row r="141" spans="2:23" x14ac:dyDescent="0.25">
      <c r="B141" s="65"/>
      <c r="C141" s="47"/>
      <c r="D141" s="47"/>
      <c r="E141" s="47"/>
      <c r="F141" s="47"/>
      <c r="G141" s="47"/>
      <c r="H141" s="47"/>
      <c r="I141" s="47"/>
      <c r="J141" s="47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4"/>
    </row>
    <row r="142" spans="2:23" ht="15.75" thickBot="1" x14ac:dyDescent="0.3">
      <c r="B142" s="66"/>
      <c r="C142" s="67"/>
      <c r="D142" s="67"/>
      <c r="E142" s="67"/>
      <c r="F142" s="67"/>
      <c r="G142" s="67"/>
      <c r="H142" s="67"/>
      <c r="I142" s="67"/>
      <c r="J142" s="67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9"/>
    </row>
    <row r="143" spans="2:23" ht="15.75" thickBot="1" x14ac:dyDescent="0.3"/>
    <row r="144" spans="2:23" x14ac:dyDescent="0.25">
      <c r="B144" s="70"/>
      <c r="C144" s="71"/>
      <c r="D144" s="71"/>
      <c r="E144" s="71"/>
      <c r="F144" s="71"/>
      <c r="G144" s="71"/>
      <c r="H144" s="71"/>
      <c r="I144" s="71"/>
      <c r="J144" s="71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1"/>
    </row>
    <row r="145" spans="2:23" x14ac:dyDescent="0.25">
      <c r="B145" s="65"/>
      <c r="C145" s="47"/>
      <c r="D145" s="47"/>
      <c r="E145" s="47"/>
      <c r="F145" s="47"/>
      <c r="G145" s="47"/>
      <c r="H145" s="47"/>
      <c r="I145" s="47"/>
      <c r="J145" s="47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4"/>
    </row>
    <row r="146" spans="2:23" x14ac:dyDescent="0.25">
      <c r="B146" s="65"/>
      <c r="C146" s="47"/>
      <c r="D146" s="47"/>
      <c r="E146" s="47"/>
      <c r="F146" s="47"/>
      <c r="G146" s="47"/>
      <c r="H146" s="47"/>
      <c r="I146" s="47"/>
      <c r="J146" s="47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4"/>
    </row>
    <row r="147" spans="2:23" x14ac:dyDescent="0.25">
      <c r="B147" s="65"/>
      <c r="C147" s="47"/>
      <c r="D147" s="47"/>
      <c r="E147" s="47"/>
      <c r="F147" s="47"/>
      <c r="G147" s="47"/>
      <c r="H147" s="47"/>
      <c r="I147" s="47"/>
      <c r="J147" s="47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4"/>
    </row>
    <row r="148" spans="2:23" x14ac:dyDescent="0.25">
      <c r="B148" s="65"/>
      <c r="C148" s="47"/>
      <c r="D148" s="47"/>
      <c r="E148" s="47"/>
      <c r="F148" s="47"/>
      <c r="G148" s="47"/>
      <c r="H148" s="47"/>
      <c r="I148" s="47"/>
      <c r="J148" s="47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4"/>
    </row>
    <row r="149" spans="2:23" x14ac:dyDescent="0.25">
      <c r="B149" s="65"/>
      <c r="C149" s="47"/>
      <c r="D149" s="47"/>
      <c r="E149" s="47"/>
      <c r="F149" s="47"/>
      <c r="G149" s="47"/>
      <c r="H149" s="47"/>
      <c r="I149" s="47"/>
      <c r="J149" s="47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4"/>
    </row>
    <row r="150" spans="2:23" x14ac:dyDescent="0.25">
      <c r="B150" s="65"/>
      <c r="C150" s="47"/>
      <c r="D150" s="47"/>
      <c r="E150" s="47"/>
      <c r="F150" s="47"/>
      <c r="G150" s="47"/>
      <c r="H150" s="47"/>
      <c r="I150" s="47"/>
      <c r="J150" s="47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4"/>
    </row>
    <row r="151" spans="2:23" x14ac:dyDescent="0.25">
      <c r="B151" s="65"/>
      <c r="C151" s="47"/>
      <c r="D151" s="47"/>
      <c r="E151" s="47"/>
      <c r="F151" s="47"/>
      <c r="G151" s="47"/>
      <c r="H151" s="47"/>
      <c r="I151" s="47"/>
      <c r="J151" s="47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4"/>
    </row>
    <row r="152" spans="2:23" x14ac:dyDescent="0.25">
      <c r="B152" s="65"/>
      <c r="C152" s="47"/>
      <c r="D152" s="47"/>
      <c r="E152" s="47"/>
      <c r="F152" s="47"/>
      <c r="G152" s="47"/>
      <c r="H152" s="47"/>
      <c r="I152" s="47"/>
      <c r="J152" s="47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4"/>
    </row>
    <row r="153" spans="2:23" x14ac:dyDescent="0.25">
      <c r="B153" s="65"/>
      <c r="C153" s="47"/>
      <c r="D153" s="47"/>
      <c r="E153" s="47"/>
      <c r="F153" s="47"/>
      <c r="G153" s="47"/>
      <c r="H153" s="47"/>
      <c r="I153" s="47"/>
      <c r="J153" s="47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4"/>
    </row>
    <row r="154" spans="2:23" x14ac:dyDescent="0.25">
      <c r="B154" s="65"/>
      <c r="C154" s="47"/>
      <c r="D154" s="47"/>
      <c r="E154" s="47"/>
      <c r="F154" s="47"/>
      <c r="G154" s="47"/>
      <c r="H154" s="47"/>
      <c r="I154" s="47"/>
      <c r="J154" s="47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4"/>
    </row>
    <row r="155" spans="2:23" x14ac:dyDescent="0.25">
      <c r="B155" s="65"/>
      <c r="C155" s="47"/>
      <c r="D155" s="47"/>
      <c r="E155" s="47"/>
      <c r="F155" s="47"/>
      <c r="G155" s="47"/>
      <c r="H155" s="47"/>
      <c r="I155" s="47"/>
      <c r="J155" s="47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4"/>
    </row>
    <row r="156" spans="2:23" x14ac:dyDescent="0.25">
      <c r="B156" s="65"/>
      <c r="C156" s="47"/>
      <c r="D156" s="47"/>
      <c r="E156" s="47"/>
      <c r="F156" s="47"/>
      <c r="G156" s="47"/>
      <c r="H156" s="47"/>
      <c r="I156" s="47"/>
      <c r="J156" s="47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4"/>
    </row>
    <row r="157" spans="2:23" x14ac:dyDescent="0.25">
      <c r="B157" s="65"/>
      <c r="C157" s="47"/>
      <c r="D157" s="47"/>
      <c r="E157" s="47"/>
      <c r="F157" s="47"/>
      <c r="G157" s="47"/>
      <c r="H157" s="47"/>
      <c r="I157" s="47"/>
      <c r="J157" s="47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4"/>
    </row>
    <row r="158" spans="2:23" x14ac:dyDescent="0.25">
      <c r="B158" s="65"/>
      <c r="C158" s="47"/>
      <c r="D158" s="47"/>
      <c r="E158" s="47"/>
      <c r="F158" s="47"/>
      <c r="G158" s="47"/>
      <c r="H158" s="47"/>
      <c r="I158" s="47"/>
      <c r="J158" s="47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4"/>
    </row>
    <row r="159" spans="2:23" x14ac:dyDescent="0.25">
      <c r="B159" s="65"/>
      <c r="C159" s="47"/>
      <c r="D159" s="47"/>
      <c r="E159" s="47"/>
      <c r="F159" s="47"/>
      <c r="G159" s="47"/>
      <c r="H159" s="47"/>
      <c r="I159" s="47"/>
      <c r="J159" s="47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4"/>
    </row>
    <row r="160" spans="2:23" x14ac:dyDescent="0.25">
      <c r="B160" s="65"/>
      <c r="C160" s="47"/>
      <c r="D160" s="47"/>
      <c r="E160" s="47"/>
      <c r="F160" s="47"/>
      <c r="G160" s="47"/>
      <c r="H160" s="47"/>
      <c r="I160" s="47"/>
      <c r="J160" s="47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4"/>
    </row>
    <row r="161" spans="2:23" x14ac:dyDescent="0.25">
      <c r="B161" s="65"/>
      <c r="C161" s="47"/>
      <c r="D161" s="47"/>
      <c r="E161" s="47"/>
      <c r="F161" s="47"/>
      <c r="G161" s="47"/>
      <c r="H161" s="47"/>
      <c r="I161" s="47"/>
      <c r="J161" s="47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4"/>
    </row>
    <row r="162" spans="2:23" x14ac:dyDescent="0.25">
      <c r="B162" s="65"/>
      <c r="C162" s="47"/>
      <c r="D162" s="47"/>
      <c r="E162" s="47"/>
      <c r="F162" s="47"/>
      <c r="G162" s="47"/>
      <c r="H162" s="47"/>
      <c r="I162" s="47"/>
      <c r="J162" s="47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4"/>
    </row>
    <row r="163" spans="2:23" x14ac:dyDescent="0.25">
      <c r="B163" s="65"/>
      <c r="C163" s="47"/>
      <c r="D163" s="47"/>
      <c r="E163" s="47"/>
      <c r="F163" s="47"/>
      <c r="G163" s="47"/>
      <c r="H163" s="47"/>
      <c r="I163" s="47"/>
      <c r="J163" s="47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4"/>
    </row>
    <row r="164" spans="2:23" x14ac:dyDescent="0.25">
      <c r="B164" s="65"/>
      <c r="C164" s="47"/>
      <c r="D164" s="47"/>
      <c r="E164" s="47"/>
      <c r="F164" s="47"/>
      <c r="G164" s="47"/>
      <c r="H164" s="47"/>
      <c r="I164" s="47"/>
      <c r="J164" s="47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4"/>
    </row>
    <row r="165" spans="2:23" x14ac:dyDescent="0.25">
      <c r="B165" s="65"/>
      <c r="C165" s="47"/>
      <c r="D165" s="47"/>
      <c r="E165" s="47"/>
      <c r="F165" s="47"/>
      <c r="G165" s="47"/>
      <c r="H165" s="47"/>
      <c r="I165" s="47"/>
      <c r="J165" s="47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4"/>
    </row>
    <row r="166" spans="2:23" x14ac:dyDescent="0.25">
      <c r="B166" s="65"/>
      <c r="C166" s="47"/>
      <c r="D166" s="47"/>
      <c r="E166" s="47"/>
      <c r="F166" s="47"/>
      <c r="G166" s="47"/>
      <c r="H166" s="47"/>
      <c r="I166" s="47"/>
      <c r="J166" s="47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4"/>
    </row>
    <row r="167" spans="2:23" x14ac:dyDescent="0.25">
      <c r="B167" s="65"/>
      <c r="C167" s="47"/>
      <c r="D167" s="47"/>
      <c r="E167" s="47"/>
      <c r="F167" s="47"/>
      <c r="G167" s="47"/>
      <c r="H167" s="47"/>
      <c r="I167" s="47"/>
      <c r="J167" s="47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4"/>
    </row>
    <row r="168" spans="2:23" x14ac:dyDescent="0.25">
      <c r="B168" s="65"/>
      <c r="C168" s="47"/>
      <c r="D168" s="47"/>
      <c r="E168" s="47"/>
      <c r="F168" s="47"/>
      <c r="G168" s="47"/>
      <c r="H168" s="47"/>
      <c r="I168" s="47"/>
      <c r="J168" s="47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4"/>
    </row>
    <row r="169" spans="2:23" x14ac:dyDescent="0.25">
      <c r="B169" s="65"/>
      <c r="C169" s="47"/>
      <c r="D169" s="47"/>
      <c r="E169" s="47"/>
      <c r="F169" s="47"/>
      <c r="G169" s="47"/>
      <c r="H169" s="47"/>
      <c r="I169" s="47"/>
      <c r="J169" s="47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4"/>
    </row>
    <row r="170" spans="2:23" x14ac:dyDescent="0.25">
      <c r="B170" s="65"/>
      <c r="C170" s="47"/>
      <c r="D170" s="47"/>
      <c r="E170" s="47"/>
      <c r="F170" s="47"/>
      <c r="G170" s="47"/>
      <c r="H170" s="47"/>
      <c r="I170" s="47"/>
      <c r="J170" s="47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4"/>
    </row>
    <row r="171" spans="2:23" x14ac:dyDescent="0.25">
      <c r="B171" s="65"/>
      <c r="C171" s="47"/>
      <c r="D171" s="47"/>
      <c r="E171" s="47"/>
      <c r="F171" s="47"/>
      <c r="G171" s="47"/>
      <c r="H171" s="47"/>
      <c r="I171" s="47"/>
      <c r="J171" s="47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4"/>
    </row>
    <row r="172" spans="2:23" x14ac:dyDescent="0.25">
      <c r="B172" s="65"/>
      <c r="C172" s="47"/>
      <c r="D172" s="47"/>
      <c r="E172" s="47"/>
      <c r="F172" s="47"/>
      <c r="G172" s="47"/>
      <c r="H172" s="47"/>
      <c r="I172" s="47"/>
      <c r="J172" s="47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4"/>
    </row>
    <row r="173" spans="2:23" x14ac:dyDescent="0.25">
      <c r="B173" s="65"/>
      <c r="C173" s="47"/>
      <c r="D173" s="47"/>
      <c r="E173" s="47"/>
      <c r="F173" s="47"/>
      <c r="G173" s="47"/>
      <c r="H173" s="47"/>
      <c r="I173" s="47"/>
      <c r="J173" s="47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4"/>
    </row>
    <row r="174" spans="2:23" ht="15.75" thickBot="1" x14ac:dyDescent="0.3">
      <c r="B174" s="66"/>
      <c r="C174" s="67"/>
      <c r="D174" s="67"/>
      <c r="E174" s="67"/>
      <c r="F174" s="67"/>
      <c r="G174" s="67"/>
      <c r="H174" s="67"/>
      <c r="I174" s="67"/>
      <c r="J174" s="67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9"/>
    </row>
    <row r="175" spans="2:23" ht="15.75" thickBot="1" x14ac:dyDescent="0.3"/>
    <row r="176" spans="2:23" x14ac:dyDescent="0.25">
      <c r="B176" s="70"/>
      <c r="C176" s="71"/>
      <c r="D176" s="71"/>
      <c r="E176" s="71"/>
      <c r="F176" s="71"/>
      <c r="G176" s="71"/>
      <c r="H176" s="71"/>
      <c r="I176" s="71"/>
      <c r="J176" s="71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1"/>
    </row>
    <row r="177" spans="2:23" x14ac:dyDescent="0.25">
      <c r="B177" s="65"/>
      <c r="C177" s="47"/>
      <c r="D177" s="47"/>
      <c r="E177" s="47"/>
      <c r="F177" s="47"/>
      <c r="G177" s="47"/>
      <c r="H177" s="47"/>
      <c r="I177" s="47"/>
      <c r="J177" s="47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4"/>
    </row>
    <row r="178" spans="2:23" x14ac:dyDescent="0.25">
      <c r="B178" s="65"/>
      <c r="C178" s="47"/>
      <c r="D178" s="47"/>
      <c r="E178" s="47"/>
      <c r="F178" s="47"/>
      <c r="G178" s="47"/>
      <c r="H178" s="47"/>
      <c r="I178" s="47"/>
      <c r="J178" s="47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4"/>
    </row>
    <row r="179" spans="2:23" x14ac:dyDescent="0.25">
      <c r="B179" s="65"/>
      <c r="C179" s="47"/>
      <c r="D179" s="47"/>
      <c r="E179" s="47"/>
      <c r="F179" s="47"/>
      <c r="G179" s="47"/>
      <c r="H179" s="47"/>
      <c r="I179" s="47"/>
      <c r="J179" s="47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4"/>
    </row>
    <row r="180" spans="2:23" x14ac:dyDescent="0.25">
      <c r="B180" s="65"/>
      <c r="C180" s="47"/>
      <c r="D180" s="47"/>
      <c r="E180" s="47"/>
      <c r="F180" s="47"/>
      <c r="G180" s="47"/>
      <c r="H180" s="47"/>
      <c r="I180" s="47"/>
      <c r="J180" s="47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4"/>
    </row>
    <row r="181" spans="2:23" x14ac:dyDescent="0.25">
      <c r="B181" s="65"/>
      <c r="C181" s="47"/>
      <c r="D181" s="47"/>
      <c r="E181" s="47"/>
      <c r="F181" s="47"/>
      <c r="G181" s="47"/>
      <c r="H181" s="47"/>
      <c r="I181" s="47"/>
      <c r="J181" s="47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4"/>
    </row>
    <row r="182" spans="2:23" x14ac:dyDescent="0.25">
      <c r="B182" s="65"/>
      <c r="C182" s="47"/>
      <c r="D182" s="47"/>
      <c r="E182" s="47"/>
      <c r="F182" s="47"/>
      <c r="G182" s="47"/>
      <c r="H182" s="47"/>
      <c r="I182" s="47"/>
      <c r="J182" s="47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4"/>
    </row>
    <row r="183" spans="2:23" x14ac:dyDescent="0.25">
      <c r="B183" s="65"/>
      <c r="C183" s="47"/>
      <c r="D183" s="47"/>
      <c r="E183" s="47"/>
      <c r="F183" s="47"/>
      <c r="G183" s="47"/>
      <c r="H183" s="47"/>
      <c r="I183" s="47"/>
      <c r="J183" s="47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4"/>
    </row>
    <row r="184" spans="2:23" x14ac:dyDescent="0.25">
      <c r="B184" s="65"/>
      <c r="C184" s="47"/>
      <c r="D184" s="47"/>
      <c r="E184" s="47"/>
      <c r="F184" s="47"/>
      <c r="G184" s="47"/>
      <c r="H184" s="47"/>
      <c r="I184" s="47"/>
      <c r="J184" s="47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4"/>
    </row>
    <row r="185" spans="2:23" x14ac:dyDescent="0.25">
      <c r="B185" s="65"/>
      <c r="C185" s="47"/>
      <c r="D185" s="47"/>
      <c r="E185" s="47"/>
      <c r="F185" s="47"/>
      <c r="G185" s="47"/>
      <c r="H185" s="47"/>
      <c r="I185" s="47"/>
      <c r="J185" s="47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4"/>
    </row>
    <row r="186" spans="2:23" x14ac:dyDescent="0.25">
      <c r="B186" s="65"/>
      <c r="C186" s="47"/>
      <c r="D186" s="47"/>
      <c r="E186" s="47"/>
      <c r="F186" s="47"/>
      <c r="G186" s="47"/>
      <c r="H186" s="47"/>
      <c r="I186" s="47"/>
      <c r="J186" s="47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4"/>
    </row>
    <row r="187" spans="2:23" x14ac:dyDescent="0.25">
      <c r="B187" s="65"/>
      <c r="C187" s="47"/>
      <c r="D187" s="47"/>
      <c r="E187" s="47"/>
      <c r="F187" s="47"/>
      <c r="G187" s="47"/>
      <c r="H187" s="47"/>
      <c r="I187" s="47"/>
      <c r="J187" s="47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4"/>
    </row>
    <row r="188" spans="2:23" x14ac:dyDescent="0.25">
      <c r="B188" s="65"/>
      <c r="C188" s="47"/>
      <c r="D188" s="47"/>
      <c r="E188" s="47"/>
      <c r="F188" s="47"/>
      <c r="G188" s="47"/>
      <c r="H188" s="47"/>
      <c r="I188" s="47"/>
      <c r="J188" s="47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4"/>
    </row>
    <row r="189" spans="2:23" x14ac:dyDescent="0.25">
      <c r="B189" s="65"/>
      <c r="C189" s="47"/>
      <c r="D189" s="47"/>
      <c r="E189" s="47"/>
      <c r="F189" s="47"/>
      <c r="G189" s="47"/>
      <c r="H189" s="47"/>
      <c r="I189" s="47"/>
      <c r="J189" s="47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4"/>
    </row>
    <row r="190" spans="2:23" x14ac:dyDescent="0.25">
      <c r="B190" s="65"/>
      <c r="C190" s="47"/>
      <c r="D190" s="47"/>
      <c r="E190" s="47"/>
      <c r="F190" s="47"/>
      <c r="G190" s="47"/>
      <c r="H190" s="47"/>
      <c r="I190" s="47"/>
      <c r="J190" s="47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4"/>
    </row>
    <row r="191" spans="2:23" x14ac:dyDescent="0.25">
      <c r="B191" s="65"/>
      <c r="C191" s="47"/>
      <c r="D191" s="47"/>
      <c r="E191" s="47"/>
      <c r="F191" s="47"/>
      <c r="G191" s="47"/>
      <c r="H191" s="47"/>
      <c r="I191" s="47"/>
      <c r="J191" s="47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4"/>
    </row>
    <row r="192" spans="2:23" x14ac:dyDescent="0.25">
      <c r="B192" s="65"/>
      <c r="C192" s="47"/>
      <c r="D192" s="47"/>
      <c r="E192" s="47"/>
      <c r="F192" s="47"/>
      <c r="G192" s="47"/>
      <c r="H192" s="47"/>
      <c r="I192" s="47"/>
      <c r="J192" s="47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4"/>
    </row>
    <row r="193" spans="2:23" x14ac:dyDescent="0.25">
      <c r="B193" s="65"/>
      <c r="C193" s="47"/>
      <c r="D193" s="47"/>
      <c r="E193" s="47"/>
      <c r="F193" s="47"/>
      <c r="G193" s="47"/>
      <c r="H193" s="47"/>
      <c r="I193" s="47"/>
      <c r="J193" s="47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4"/>
    </row>
    <row r="194" spans="2:23" x14ac:dyDescent="0.25">
      <c r="B194" s="65"/>
      <c r="C194" s="47"/>
      <c r="D194" s="47"/>
      <c r="E194" s="47"/>
      <c r="F194" s="47"/>
      <c r="G194" s="47"/>
      <c r="H194" s="47"/>
      <c r="I194" s="47"/>
      <c r="J194" s="47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4"/>
    </row>
    <row r="195" spans="2:23" x14ac:dyDescent="0.25">
      <c r="B195" s="65"/>
      <c r="C195" s="47"/>
      <c r="D195" s="47"/>
      <c r="E195" s="47"/>
      <c r="F195" s="47"/>
      <c r="G195" s="47"/>
      <c r="H195" s="47"/>
      <c r="I195" s="47"/>
      <c r="J195" s="47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4"/>
    </row>
    <row r="196" spans="2:23" x14ac:dyDescent="0.25">
      <c r="B196" s="65"/>
      <c r="C196" s="47"/>
      <c r="D196" s="47"/>
      <c r="E196" s="47"/>
      <c r="F196" s="47"/>
      <c r="G196" s="47"/>
      <c r="H196" s="47"/>
      <c r="I196" s="47"/>
      <c r="J196" s="47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4"/>
    </row>
    <row r="197" spans="2:23" x14ac:dyDescent="0.25">
      <c r="B197" s="65"/>
      <c r="C197" s="47"/>
      <c r="D197" s="47"/>
      <c r="E197" s="47"/>
      <c r="F197" s="47"/>
      <c r="G197" s="47"/>
      <c r="H197" s="47"/>
      <c r="I197" s="47"/>
      <c r="J197" s="47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4"/>
    </row>
    <row r="198" spans="2:23" x14ac:dyDescent="0.25">
      <c r="B198" s="65"/>
      <c r="C198" s="47"/>
      <c r="D198" s="47"/>
      <c r="E198" s="47"/>
      <c r="F198" s="47"/>
      <c r="G198" s="47"/>
      <c r="H198" s="47"/>
      <c r="I198" s="47"/>
      <c r="J198" s="47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4"/>
    </row>
    <row r="199" spans="2:23" x14ac:dyDescent="0.25">
      <c r="B199" s="65"/>
      <c r="C199" s="47"/>
      <c r="D199" s="47"/>
      <c r="E199" s="47"/>
      <c r="F199" s="47"/>
      <c r="G199" s="47"/>
      <c r="H199" s="47"/>
      <c r="I199" s="47"/>
      <c r="J199" s="47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4"/>
    </row>
    <row r="200" spans="2:23" x14ac:dyDescent="0.25">
      <c r="B200" s="65"/>
      <c r="C200" s="47"/>
      <c r="D200" s="47"/>
      <c r="E200" s="47"/>
      <c r="F200" s="47"/>
      <c r="G200" s="47"/>
      <c r="H200" s="47"/>
      <c r="I200" s="47"/>
      <c r="J200" s="47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4"/>
    </row>
    <row r="201" spans="2:23" x14ac:dyDescent="0.25">
      <c r="B201" s="65"/>
      <c r="C201" s="47"/>
      <c r="D201" s="47"/>
      <c r="E201" s="47"/>
      <c r="F201" s="47"/>
      <c r="G201" s="47"/>
      <c r="H201" s="47"/>
      <c r="I201" s="47"/>
      <c r="J201" s="47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4"/>
    </row>
    <row r="202" spans="2:23" x14ac:dyDescent="0.25">
      <c r="B202" s="65"/>
      <c r="C202" s="47"/>
      <c r="D202" s="47"/>
      <c r="E202" s="47"/>
      <c r="F202" s="47"/>
      <c r="G202" s="47"/>
      <c r="H202" s="47"/>
      <c r="I202" s="47"/>
      <c r="J202" s="47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4"/>
    </row>
    <row r="203" spans="2:23" x14ac:dyDescent="0.25">
      <c r="B203" s="65"/>
      <c r="C203" s="47"/>
      <c r="D203" s="47"/>
      <c r="E203" s="47"/>
      <c r="F203" s="47"/>
      <c r="G203" s="47"/>
      <c r="H203" s="47"/>
      <c r="I203" s="47"/>
      <c r="J203" s="47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4"/>
    </row>
    <row r="204" spans="2:23" x14ac:dyDescent="0.25">
      <c r="B204" s="65"/>
      <c r="C204" s="47"/>
      <c r="D204" s="47"/>
      <c r="E204" s="47"/>
      <c r="F204" s="47"/>
      <c r="G204" s="47"/>
      <c r="H204" s="47"/>
      <c r="I204" s="47"/>
      <c r="J204" s="47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4"/>
    </row>
    <row r="205" spans="2:23" x14ac:dyDescent="0.25">
      <c r="B205" s="65"/>
      <c r="C205" s="47"/>
      <c r="D205" s="47"/>
      <c r="E205" s="47"/>
      <c r="F205" s="47"/>
      <c r="G205" s="47"/>
      <c r="H205" s="47"/>
      <c r="I205" s="47"/>
      <c r="J205" s="47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4"/>
    </row>
    <row r="206" spans="2:23" ht="15.75" thickBot="1" x14ac:dyDescent="0.3">
      <c r="B206" s="66"/>
      <c r="C206" s="67"/>
      <c r="D206" s="67"/>
      <c r="E206" s="67"/>
      <c r="F206" s="67"/>
      <c r="G206" s="67"/>
      <c r="H206" s="67"/>
      <c r="I206" s="67"/>
      <c r="J206" s="67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9"/>
    </row>
    <row r="207" spans="2:23" ht="15.75" thickBot="1" x14ac:dyDescent="0.3"/>
    <row r="208" spans="2:23" x14ac:dyDescent="0.25">
      <c r="B208" s="70"/>
      <c r="C208" s="71"/>
      <c r="D208" s="71"/>
      <c r="E208" s="71"/>
      <c r="F208" s="71"/>
      <c r="G208" s="71"/>
      <c r="H208" s="71"/>
      <c r="I208" s="71"/>
      <c r="J208" s="71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1"/>
    </row>
    <row r="209" spans="2:23" x14ac:dyDescent="0.25">
      <c r="B209" s="65"/>
      <c r="C209" s="47"/>
      <c r="D209" s="47"/>
      <c r="E209" s="47"/>
      <c r="F209" s="47"/>
      <c r="G209" s="47"/>
      <c r="H209" s="47"/>
      <c r="I209" s="47"/>
      <c r="J209" s="47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4"/>
    </row>
    <row r="210" spans="2:23" x14ac:dyDescent="0.25">
      <c r="B210" s="65"/>
      <c r="C210" s="47"/>
      <c r="D210" s="47"/>
      <c r="E210" s="47"/>
      <c r="F210" s="47"/>
      <c r="G210" s="47"/>
      <c r="H210" s="47"/>
      <c r="I210" s="47"/>
      <c r="J210" s="47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4"/>
    </row>
    <row r="211" spans="2:23" x14ac:dyDescent="0.25">
      <c r="B211" s="65"/>
      <c r="C211" s="47"/>
      <c r="D211" s="47"/>
      <c r="E211" s="47"/>
      <c r="F211" s="47"/>
      <c r="G211" s="47"/>
      <c r="H211" s="47"/>
      <c r="I211" s="47"/>
      <c r="J211" s="47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4"/>
    </row>
    <row r="212" spans="2:23" x14ac:dyDescent="0.25">
      <c r="B212" s="65"/>
      <c r="C212" s="47"/>
      <c r="D212" s="47"/>
      <c r="E212" s="47"/>
      <c r="F212" s="47"/>
      <c r="G212" s="47"/>
      <c r="H212" s="47"/>
      <c r="I212" s="47"/>
      <c r="J212" s="47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4"/>
    </row>
    <row r="213" spans="2:23" x14ac:dyDescent="0.25">
      <c r="B213" s="65"/>
      <c r="C213" s="47"/>
      <c r="D213" s="47"/>
      <c r="E213" s="47"/>
      <c r="F213" s="47"/>
      <c r="G213" s="47"/>
      <c r="H213" s="47"/>
      <c r="I213" s="47"/>
      <c r="J213" s="47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4"/>
    </row>
    <row r="214" spans="2:23" x14ac:dyDescent="0.25">
      <c r="B214" s="65"/>
      <c r="C214" s="47"/>
      <c r="D214" s="47"/>
      <c r="E214" s="47"/>
      <c r="F214" s="47"/>
      <c r="G214" s="47"/>
      <c r="H214" s="47"/>
      <c r="I214" s="47"/>
      <c r="J214" s="47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4"/>
    </row>
    <row r="215" spans="2:23" x14ac:dyDescent="0.25">
      <c r="B215" s="65"/>
      <c r="C215" s="47"/>
      <c r="D215" s="47"/>
      <c r="E215" s="47"/>
      <c r="F215" s="47"/>
      <c r="G215" s="47"/>
      <c r="H215" s="47"/>
      <c r="I215" s="47"/>
      <c r="J215" s="47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4"/>
    </row>
    <row r="216" spans="2:23" x14ac:dyDescent="0.25">
      <c r="B216" s="65"/>
      <c r="C216" s="47"/>
      <c r="D216" s="47"/>
      <c r="E216" s="47"/>
      <c r="F216" s="47"/>
      <c r="G216" s="47"/>
      <c r="H216" s="47"/>
      <c r="I216" s="47"/>
      <c r="J216" s="47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4"/>
    </row>
    <row r="217" spans="2:23" x14ac:dyDescent="0.25">
      <c r="B217" s="65"/>
      <c r="C217" s="47"/>
      <c r="D217" s="47"/>
      <c r="E217" s="47"/>
      <c r="F217" s="47"/>
      <c r="G217" s="47"/>
      <c r="H217" s="47"/>
      <c r="I217" s="47"/>
      <c r="J217" s="47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4"/>
    </row>
    <row r="218" spans="2:23" x14ac:dyDescent="0.25">
      <c r="B218" s="65"/>
      <c r="C218" s="47"/>
      <c r="D218" s="47"/>
      <c r="E218" s="47"/>
      <c r="F218" s="47"/>
      <c r="G218" s="47"/>
      <c r="H218" s="47"/>
      <c r="I218" s="47"/>
      <c r="J218" s="47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4"/>
    </row>
    <row r="219" spans="2:23" x14ac:dyDescent="0.25">
      <c r="B219" s="65"/>
      <c r="C219" s="47"/>
      <c r="D219" s="47"/>
      <c r="E219" s="47"/>
      <c r="F219" s="47"/>
      <c r="G219" s="47"/>
      <c r="H219" s="47"/>
      <c r="I219" s="47"/>
      <c r="J219" s="47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4"/>
    </row>
    <row r="220" spans="2:23" x14ac:dyDescent="0.25">
      <c r="B220" s="65"/>
      <c r="C220" s="47"/>
      <c r="D220" s="47"/>
      <c r="E220" s="47"/>
      <c r="F220" s="47"/>
      <c r="G220" s="47"/>
      <c r="H220" s="47"/>
      <c r="I220" s="47"/>
      <c r="J220" s="47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4"/>
    </row>
    <row r="221" spans="2:23" x14ac:dyDescent="0.25">
      <c r="B221" s="65"/>
      <c r="C221" s="47"/>
      <c r="D221" s="47"/>
      <c r="E221" s="47"/>
      <c r="F221" s="47"/>
      <c r="G221" s="47"/>
      <c r="H221" s="47"/>
      <c r="I221" s="47"/>
      <c r="J221" s="47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4"/>
    </row>
    <row r="222" spans="2:23" x14ac:dyDescent="0.25">
      <c r="B222" s="65"/>
      <c r="C222" s="47"/>
      <c r="D222" s="47"/>
      <c r="E222" s="47"/>
      <c r="F222" s="47"/>
      <c r="G222" s="47"/>
      <c r="H222" s="47"/>
      <c r="I222" s="47"/>
      <c r="J222" s="47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4"/>
    </row>
    <row r="223" spans="2:23" x14ac:dyDescent="0.25">
      <c r="B223" s="65"/>
      <c r="C223" s="47"/>
      <c r="D223" s="47"/>
      <c r="E223" s="47"/>
      <c r="F223" s="47"/>
      <c r="G223" s="47"/>
      <c r="H223" s="47"/>
      <c r="I223" s="47"/>
      <c r="J223" s="47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4"/>
    </row>
    <row r="224" spans="2:23" x14ac:dyDescent="0.25">
      <c r="B224" s="65"/>
      <c r="C224" s="47"/>
      <c r="D224" s="47"/>
      <c r="E224" s="47"/>
      <c r="F224" s="47"/>
      <c r="G224" s="47"/>
      <c r="H224" s="47"/>
      <c r="I224" s="47"/>
      <c r="J224" s="47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4"/>
    </row>
    <row r="225" spans="2:23" x14ac:dyDescent="0.25">
      <c r="B225" s="65"/>
      <c r="C225" s="47"/>
      <c r="D225" s="47"/>
      <c r="E225" s="47"/>
      <c r="F225" s="47"/>
      <c r="G225" s="47"/>
      <c r="H225" s="47"/>
      <c r="I225" s="47"/>
      <c r="J225" s="47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4"/>
    </row>
    <row r="226" spans="2:23" x14ac:dyDescent="0.25">
      <c r="B226" s="65"/>
      <c r="C226" s="47"/>
      <c r="D226" s="47"/>
      <c r="E226" s="47"/>
      <c r="F226" s="47"/>
      <c r="G226" s="47"/>
      <c r="H226" s="47"/>
      <c r="I226" s="47"/>
      <c r="J226" s="47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4"/>
    </row>
    <row r="227" spans="2:23" x14ac:dyDescent="0.25">
      <c r="B227" s="65"/>
      <c r="C227" s="47"/>
      <c r="D227" s="47"/>
      <c r="E227" s="47"/>
      <c r="F227" s="47"/>
      <c r="G227" s="47"/>
      <c r="H227" s="47"/>
      <c r="I227" s="47"/>
      <c r="J227" s="47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4"/>
    </row>
    <row r="228" spans="2:23" x14ac:dyDescent="0.25">
      <c r="B228" s="65"/>
      <c r="C228" s="47"/>
      <c r="D228" s="47"/>
      <c r="E228" s="47"/>
      <c r="F228" s="47"/>
      <c r="G228" s="47"/>
      <c r="H228" s="47"/>
      <c r="I228" s="47"/>
      <c r="J228" s="47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4"/>
    </row>
    <row r="229" spans="2:23" x14ac:dyDescent="0.25">
      <c r="B229" s="65"/>
      <c r="C229" s="47"/>
      <c r="D229" s="47"/>
      <c r="E229" s="47"/>
      <c r="F229" s="47"/>
      <c r="G229" s="47"/>
      <c r="H229" s="47"/>
      <c r="I229" s="47"/>
      <c r="J229" s="47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4"/>
    </row>
    <row r="230" spans="2:23" x14ac:dyDescent="0.25">
      <c r="B230" s="65"/>
      <c r="C230" s="47"/>
      <c r="D230" s="47"/>
      <c r="E230" s="47"/>
      <c r="F230" s="47"/>
      <c r="G230" s="47"/>
      <c r="H230" s="47"/>
      <c r="I230" s="47"/>
      <c r="J230" s="47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4"/>
    </row>
    <row r="231" spans="2:23" x14ac:dyDescent="0.25">
      <c r="B231" s="65"/>
      <c r="C231" s="47"/>
      <c r="D231" s="47"/>
      <c r="E231" s="47"/>
      <c r="F231" s="47"/>
      <c r="G231" s="47"/>
      <c r="H231" s="47"/>
      <c r="I231" s="47"/>
      <c r="J231" s="47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4"/>
    </row>
    <row r="232" spans="2:23" x14ac:dyDescent="0.25">
      <c r="B232" s="65"/>
      <c r="C232" s="47"/>
      <c r="D232" s="47"/>
      <c r="E232" s="47"/>
      <c r="F232" s="47"/>
      <c r="G232" s="47"/>
      <c r="H232" s="47"/>
      <c r="I232" s="47"/>
      <c r="J232" s="47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4"/>
    </row>
    <row r="233" spans="2:23" x14ac:dyDescent="0.25">
      <c r="B233" s="65"/>
      <c r="C233" s="47"/>
      <c r="D233" s="47"/>
      <c r="E233" s="47"/>
      <c r="F233" s="47"/>
      <c r="G233" s="47"/>
      <c r="H233" s="47"/>
      <c r="I233" s="47"/>
      <c r="J233" s="47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4"/>
    </row>
    <row r="234" spans="2:23" x14ac:dyDescent="0.25">
      <c r="B234" s="65"/>
      <c r="C234" s="47"/>
      <c r="D234" s="47"/>
      <c r="E234" s="47"/>
      <c r="F234" s="47"/>
      <c r="G234" s="47"/>
      <c r="H234" s="47"/>
      <c r="I234" s="47"/>
      <c r="J234" s="47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4"/>
    </row>
    <row r="235" spans="2:23" x14ac:dyDescent="0.25">
      <c r="B235" s="65"/>
      <c r="C235" s="47"/>
      <c r="D235" s="47"/>
      <c r="E235" s="47"/>
      <c r="F235" s="47"/>
      <c r="G235" s="47"/>
      <c r="H235" s="47"/>
      <c r="I235" s="47"/>
      <c r="J235" s="47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4"/>
    </row>
    <row r="236" spans="2:23" x14ac:dyDescent="0.25">
      <c r="B236" s="65"/>
      <c r="C236" s="47"/>
      <c r="D236" s="47"/>
      <c r="E236" s="47"/>
      <c r="F236" s="47"/>
      <c r="G236" s="47"/>
      <c r="H236" s="47"/>
      <c r="I236" s="47"/>
      <c r="J236" s="47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4"/>
    </row>
    <row r="237" spans="2:23" x14ac:dyDescent="0.25">
      <c r="B237" s="65"/>
      <c r="C237" s="47"/>
      <c r="D237" s="47"/>
      <c r="E237" s="47"/>
      <c r="F237" s="47"/>
      <c r="G237" s="47"/>
      <c r="H237" s="47"/>
      <c r="I237" s="47"/>
      <c r="J237" s="47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4"/>
    </row>
    <row r="238" spans="2:23" ht="15.75" thickBot="1" x14ac:dyDescent="0.3">
      <c r="B238" s="66"/>
      <c r="C238" s="67"/>
      <c r="D238" s="67"/>
      <c r="E238" s="67"/>
      <c r="F238" s="67"/>
      <c r="G238" s="67"/>
      <c r="H238" s="67"/>
      <c r="I238" s="67"/>
      <c r="J238" s="67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9"/>
    </row>
    <row r="239" spans="2:23" ht="15.75" thickBot="1" x14ac:dyDescent="0.3"/>
    <row r="240" spans="2:23" x14ac:dyDescent="0.25">
      <c r="B240" s="70"/>
      <c r="C240" s="71"/>
      <c r="D240" s="71"/>
      <c r="E240" s="71"/>
      <c r="F240" s="71"/>
      <c r="G240" s="71"/>
      <c r="H240" s="71"/>
      <c r="I240" s="71"/>
      <c r="J240" s="71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1"/>
    </row>
    <row r="241" spans="2:23" x14ac:dyDescent="0.25">
      <c r="B241" s="65"/>
      <c r="C241" s="47"/>
      <c r="D241" s="47"/>
      <c r="E241" s="47"/>
      <c r="F241" s="47"/>
      <c r="G241" s="47"/>
      <c r="H241" s="47"/>
      <c r="I241" s="47"/>
      <c r="J241" s="47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4"/>
    </row>
    <row r="242" spans="2:23" x14ac:dyDescent="0.25">
      <c r="B242" s="65"/>
      <c r="C242" s="47"/>
      <c r="D242" s="47"/>
      <c r="E242" s="47"/>
      <c r="F242" s="47"/>
      <c r="G242" s="47"/>
      <c r="H242" s="47"/>
      <c r="I242" s="47"/>
      <c r="J242" s="47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4"/>
    </row>
    <row r="243" spans="2:23" x14ac:dyDescent="0.25">
      <c r="B243" s="65"/>
      <c r="C243" s="47"/>
      <c r="D243" s="47"/>
      <c r="E243" s="47"/>
      <c r="F243" s="47"/>
      <c r="G243" s="47"/>
      <c r="H243" s="47"/>
      <c r="I243" s="47"/>
      <c r="J243" s="47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4"/>
    </row>
    <row r="244" spans="2:23" x14ac:dyDescent="0.25">
      <c r="B244" s="65"/>
      <c r="C244" s="47"/>
      <c r="D244" s="47"/>
      <c r="E244" s="47"/>
      <c r="F244" s="47"/>
      <c r="G244" s="47"/>
      <c r="H244" s="47"/>
      <c r="I244" s="47"/>
      <c r="J244" s="47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4"/>
    </row>
    <row r="245" spans="2:23" x14ac:dyDescent="0.25">
      <c r="B245" s="65"/>
      <c r="C245" s="47"/>
      <c r="D245" s="47"/>
      <c r="E245" s="47"/>
      <c r="F245" s="47"/>
      <c r="G245" s="47"/>
      <c r="H245" s="47"/>
      <c r="I245" s="47"/>
      <c r="J245" s="47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4"/>
    </row>
    <row r="246" spans="2:23" x14ac:dyDescent="0.25">
      <c r="B246" s="65"/>
      <c r="C246" s="47"/>
      <c r="D246" s="47"/>
      <c r="E246" s="47"/>
      <c r="F246" s="47"/>
      <c r="G246" s="47"/>
      <c r="H246" s="47"/>
      <c r="I246" s="47"/>
      <c r="J246" s="47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4"/>
    </row>
    <row r="247" spans="2:23" x14ac:dyDescent="0.25">
      <c r="B247" s="65"/>
      <c r="C247" s="47"/>
      <c r="D247" s="47"/>
      <c r="E247" s="47"/>
      <c r="F247" s="47"/>
      <c r="G247" s="47"/>
      <c r="H247" s="47"/>
      <c r="I247" s="47"/>
      <c r="J247" s="47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4"/>
    </row>
    <row r="248" spans="2:23" x14ac:dyDescent="0.25">
      <c r="B248" s="65"/>
      <c r="C248" s="47"/>
      <c r="D248" s="47"/>
      <c r="E248" s="47"/>
      <c r="F248" s="47"/>
      <c r="G248" s="47"/>
      <c r="H248" s="47"/>
      <c r="I248" s="47"/>
      <c r="J248" s="47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4"/>
    </row>
    <row r="249" spans="2:23" x14ac:dyDescent="0.25">
      <c r="B249" s="65"/>
      <c r="C249" s="47"/>
      <c r="D249" s="47"/>
      <c r="E249" s="47"/>
      <c r="F249" s="47"/>
      <c r="G249" s="47"/>
      <c r="H249" s="47"/>
      <c r="I249" s="47"/>
      <c r="J249" s="47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4"/>
    </row>
    <row r="250" spans="2:23" x14ac:dyDescent="0.25">
      <c r="B250" s="65"/>
      <c r="C250" s="47"/>
      <c r="D250" s="47"/>
      <c r="E250" s="47"/>
      <c r="F250" s="47"/>
      <c r="G250" s="47"/>
      <c r="H250" s="47"/>
      <c r="I250" s="47"/>
      <c r="J250" s="47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4"/>
    </row>
    <row r="251" spans="2:23" x14ac:dyDescent="0.25">
      <c r="B251" s="65"/>
      <c r="C251" s="47"/>
      <c r="D251" s="47"/>
      <c r="E251" s="47"/>
      <c r="F251" s="47"/>
      <c r="G251" s="47"/>
      <c r="H251" s="47"/>
      <c r="I251" s="47"/>
      <c r="J251" s="47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4"/>
    </row>
    <row r="252" spans="2:23" x14ac:dyDescent="0.25">
      <c r="B252" s="65"/>
      <c r="C252" s="47"/>
      <c r="D252" s="47"/>
      <c r="E252" s="47"/>
      <c r="F252" s="47"/>
      <c r="G252" s="47"/>
      <c r="H252" s="47"/>
      <c r="I252" s="47"/>
      <c r="J252" s="47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4"/>
    </row>
    <row r="253" spans="2:23" x14ac:dyDescent="0.25">
      <c r="B253" s="65"/>
      <c r="C253" s="47"/>
      <c r="D253" s="47"/>
      <c r="E253" s="47"/>
      <c r="F253" s="47"/>
      <c r="G253" s="47"/>
      <c r="H253" s="47"/>
      <c r="I253" s="47"/>
      <c r="J253" s="47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4"/>
    </row>
    <row r="254" spans="2:23" x14ac:dyDescent="0.25">
      <c r="B254" s="65"/>
      <c r="C254" s="47"/>
      <c r="D254" s="47"/>
      <c r="E254" s="47"/>
      <c r="F254" s="47"/>
      <c r="G254" s="47"/>
      <c r="H254" s="47"/>
      <c r="I254" s="47"/>
      <c r="J254" s="47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4"/>
    </row>
    <row r="255" spans="2:23" x14ac:dyDescent="0.25">
      <c r="B255" s="65"/>
      <c r="C255" s="47"/>
      <c r="D255" s="47"/>
      <c r="E255" s="47"/>
      <c r="F255" s="47"/>
      <c r="G255" s="47"/>
      <c r="H255" s="47"/>
      <c r="I255" s="47"/>
      <c r="J255" s="47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4"/>
    </row>
    <row r="256" spans="2:23" x14ac:dyDescent="0.25">
      <c r="B256" s="65"/>
      <c r="C256" s="47"/>
      <c r="D256" s="47"/>
      <c r="E256" s="47"/>
      <c r="F256" s="47"/>
      <c r="G256" s="47"/>
      <c r="H256" s="47"/>
      <c r="I256" s="47"/>
      <c r="J256" s="47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4"/>
    </row>
    <row r="257" spans="2:23" x14ac:dyDescent="0.25">
      <c r="B257" s="65"/>
      <c r="C257" s="47"/>
      <c r="D257" s="47"/>
      <c r="E257" s="47"/>
      <c r="F257" s="47"/>
      <c r="G257" s="47"/>
      <c r="H257" s="47"/>
      <c r="I257" s="47"/>
      <c r="J257" s="47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4"/>
    </row>
    <row r="258" spans="2:23" x14ac:dyDescent="0.25">
      <c r="B258" s="65"/>
      <c r="C258" s="47"/>
      <c r="D258" s="47"/>
      <c r="E258" s="47"/>
      <c r="F258" s="47"/>
      <c r="G258" s="47"/>
      <c r="H258" s="47"/>
      <c r="I258" s="47"/>
      <c r="J258" s="47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4"/>
    </row>
    <row r="259" spans="2:23" x14ac:dyDescent="0.25">
      <c r="B259" s="65"/>
      <c r="C259" s="47"/>
      <c r="D259" s="47"/>
      <c r="E259" s="47"/>
      <c r="F259" s="47"/>
      <c r="G259" s="47"/>
      <c r="H259" s="47"/>
      <c r="I259" s="47"/>
      <c r="J259" s="47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4"/>
    </row>
    <row r="260" spans="2:23" x14ac:dyDescent="0.25">
      <c r="B260" s="65"/>
      <c r="C260" s="47"/>
      <c r="D260" s="47"/>
      <c r="E260" s="47"/>
      <c r="F260" s="47"/>
      <c r="G260" s="47"/>
      <c r="H260" s="47"/>
      <c r="I260" s="47"/>
      <c r="J260" s="47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4"/>
    </row>
    <row r="261" spans="2:23" x14ac:dyDescent="0.25">
      <c r="B261" s="65"/>
      <c r="C261" s="47"/>
      <c r="D261" s="47"/>
      <c r="E261" s="47"/>
      <c r="F261" s="47"/>
      <c r="G261" s="47"/>
      <c r="H261" s="47"/>
      <c r="I261" s="47"/>
      <c r="J261" s="47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4"/>
    </row>
    <row r="262" spans="2:23" x14ac:dyDescent="0.25">
      <c r="B262" s="65"/>
      <c r="C262" s="47"/>
      <c r="D262" s="47"/>
      <c r="E262" s="47"/>
      <c r="F262" s="47"/>
      <c r="G262" s="47"/>
      <c r="H262" s="47"/>
      <c r="I262" s="47"/>
      <c r="J262" s="47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4"/>
    </row>
    <row r="263" spans="2:23" x14ac:dyDescent="0.25">
      <c r="B263" s="65"/>
      <c r="C263" s="47"/>
      <c r="D263" s="47"/>
      <c r="E263" s="47"/>
      <c r="F263" s="47"/>
      <c r="G263" s="47"/>
      <c r="H263" s="47"/>
      <c r="I263" s="47"/>
      <c r="J263" s="47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4"/>
    </row>
    <row r="264" spans="2:23" x14ac:dyDescent="0.25">
      <c r="B264" s="65"/>
      <c r="C264" s="47"/>
      <c r="D264" s="47"/>
      <c r="E264" s="47"/>
      <c r="F264" s="47"/>
      <c r="G264" s="47"/>
      <c r="H264" s="47"/>
      <c r="I264" s="47"/>
      <c r="J264" s="47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4"/>
    </row>
    <row r="265" spans="2:23" x14ac:dyDescent="0.25">
      <c r="B265" s="65"/>
      <c r="C265" s="47"/>
      <c r="D265" s="47"/>
      <c r="E265" s="47"/>
      <c r="F265" s="47"/>
      <c r="G265" s="47"/>
      <c r="H265" s="47"/>
      <c r="I265" s="47"/>
      <c r="J265" s="47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4"/>
    </row>
    <row r="266" spans="2:23" x14ac:dyDescent="0.25">
      <c r="B266" s="65"/>
      <c r="C266" s="47"/>
      <c r="D266" s="47"/>
      <c r="E266" s="47"/>
      <c r="F266" s="47"/>
      <c r="G266" s="47"/>
      <c r="H266" s="47"/>
      <c r="I266" s="47"/>
      <c r="J266" s="47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4"/>
    </row>
    <row r="267" spans="2:23" x14ac:dyDescent="0.25">
      <c r="B267" s="65"/>
      <c r="C267" s="47"/>
      <c r="D267" s="47"/>
      <c r="E267" s="47"/>
      <c r="F267" s="47"/>
      <c r="G267" s="47"/>
      <c r="H267" s="47"/>
      <c r="I267" s="47"/>
      <c r="J267" s="47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4"/>
    </row>
    <row r="268" spans="2:23" x14ac:dyDescent="0.25">
      <c r="B268" s="65"/>
      <c r="C268" s="47"/>
      <c r="D268" s="47"/>
      <c r="E268" s="47"/>
      <c r="F268" s="47"/>
      <c r="G268" s="47"/>
      <c r="H268" s="47"/>
      <c r="I268" s="47"/>
      <c r="J268" s="47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4"/>
    </row>
    <row r="269" spans="2:23" x14ac:dyDescent="0.25">
      <c r="B269" s="65"/>
      <c r="C269" s="47"/>
      <c r="D269" s="47"/>
      <c r="E269" s="47"/>
      <c r="F269" s="47"/>
      <c r="G269" s="47"/>
      <c r="H269" s="47"/>
      <c r="I269" s="47"/>
      <c r="J269" s="47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4"/>
    </row>
    <row r="270" spans="2:23" ht="15.75" thickBot="1" x14ac:dyDescent="0.3">
      <c r="B270" s="66"/>
      <c r="C270" s="67"/>
      <c r="D270" s="67"/>
      <c r="E270" s="67"/>
      <c r="F270" s="67"/>
      <c r="G270" s="67"/>
      <c r="H270" s="67"/>
      <c r="I270" s="67"/>
      <c r="J270" s="67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9"/>
    </row>
  </sheetData>
  <mergeCells count="18">
    <mergeCell ref="G2:G3"/>
    <mergeCell ref="G13:G14"/>
    <mergeCell ref="H2:H3"/>
    <mergeCell ref="H13:H14"/>
    <mergeCell ref="J2:J3"/>
    <mergeCell ref="J13:J14"/>
    <mergeCell ref="I2:I3"/>
    <mergeCell ref="I13:I14"/>
    <mergeCell ref="B13:B14"/>
    <mergeCell ref="B2:B3"/>
    <mergeCell ref="C2:C3"/>
    <mergeCell ref="C13:C14"/>
    <mergeCell ref="F2:F3"/>
    <mergeCell ref="F13:F14"/>
    <mergeCell ref="E2:E3"/>
    <mergeCell ref="E13:E14"/>
    <mergeCell ref="D2:D3"/>
    <mergeCell ref="D13:D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3"/>
  <sheetViews>
    <sheetView showGridLines="0" topLeftCell="A136" workbookViewId="0">
      <selection activeCell="X57" sqref="X57"/>
    </sheetView>
  </sheetViews>
  <sheetFormatPr defaultRowHeight="15" x14ac:dyDescent="0.25"/>
  <cols>
    <col min="1" max="1" width="2.42578125" customWidth="1"/>
    <col min="2" max="2" width="14.7109375" style="15" customWidth="1"/>
    <col min="3" max="3" width="14.7109375" style="1" customWidth="1"/>
    <col min="4" max="4" width="10.7109375" style="1" customWidth="1"/>
    <col min="5" max="5" width="14.7109375" style="1" customWidth="1"/>
    <col min="6" max="6" width="10.7109375" style="1" customWidth="1"/>
    <col min="7" max="7" width="14.7109375" style="1" customWidth="1"/>
    <col min="8" max="8" width="12.7109375" style="1" customWidth="1"/>
    <col min="9" max="10" width="14.7109375" style="1" customWidth="1"/>
    <col min="11" max="11" width="2.42578125" customWidth="1"/>
  </cols>
  <sheetData>
    <row r="1" spans="1:17" ht="15.75" thickBot="1" x14ac:dyDescent="0.3">
      <c r="I1" s="57"/>
    </row>
    <row r="2" spans="1:17" ht="15" customHeight="1" x14ac:dyDescent="0.25">
      <c r="B2" s="116" t="s">
        <v>85</v>
      </c>
      <c r="C2" s="118" t="s">
        <v>72</v>
      </c>
      <c r="D2" s="118" t="s">
        <v>80</v>
      </c>
      <c r="E2" s="118" t="s">
        <v>73</v>
      </c>
      <c r="F2" s="118" t="s">
        <v>74</v>
      </c>
      <c r="G2" s="116" t="s">
        <v>76</v>
      </c>
      <c r="H2" s="157"/>
      <c r="I2" s="157"/>
      <c r="J2" s="157"/>
    </row>
    <row r="3" spans="1:17" ht="15.75" customHeight="1" thickBot="1" x14ac:dyDescent="0.3">
      <c r="B3" s="117"/>
      <c r="C3" s="119"/>
      <c r="D3" s="119"/>
      <c r="E3" s="119"/>
      <c r="F3" s="119"/>
      <c r="G3" s="117"/>
      <c r="H3" s="157"/>
      <c r="I3" s="157"/>
      <c r="J3" s="157"/>
    </row>
    <row r="4" spans="1:17" ht="15.75" customHeight="1" x14ac:dyDescent="0.25">
      <c r="A4" s="50"/>
      <c r="B4" s="39" t="s">
        <v>29</v>
      </c>
      <c r="C4" s="42">
        <f>SUM(SUMIF('Raw Data'!$C$5:$C$500,{"ABQ"}, 'Raw Data'!$I$5:$KI$500))</f>
        <v>2395826.5099999993</v>
      </c>
      <c r="D4" s="55">
        <f>SUM(COUNTIF('Raw Data'!$C$5:$C$500,{"ABQ"}))</f>
        <v>168</v>
      </c>
      <c r="E4" s="42">
        <f>SUM(SUMIF('Raw Data'!$C$5:$C$500,{"ABQ"}, 'Raw Data'!$I$5:$I$500))/SUM(COUNTIF('Raw Data'!$C$5:$C$500,{"ABQ"}))</f>
        <v>14260.87208333333</v>
      </c>
      <c r="F4" s="51">
        <f>SUM(SUMIF('Raw Data'!$C$5:$C$500,{"ABQ"}, 'Raw Data'!$K$5:$K$500))/SUM(COUNTIF('Raw Data'!$C$5:$C$500,{"ABQ"}))</f>
        <v>0.49979573079168976</v>
      </c>
      <c r="G4" s="42">
        <f>SUM(SUMIF('Raw Data'!$C$5:$C$500,{"ABQ"}, 'Raw Data'!$N$5:$N$500))/SUM(COUNTIF('Raw Data'!$C$5:$C$500,{"ABQ"}))</f>
        <v>272.07244047619054</v>
      </c>
      <c r="H4" s="74"/>
      <c r="I4" s="73"/>
      <c r="J4" s="73"/>
    </row>
    <row r="5" spans="1:17" ht="15.75" customHeight="1" x14ac:dyDescent="0.25">
      <c r="A5" s="50"/>
      <c r="B5" s="34" t="s">
        <v>81</v>
      </c>
      <c r="C5" s="44">
        <f>SUM(SUMIF('Raw Data'!$C$5:$C$500,{"Bernalillo"}, 'Raw Data'!$I$5:$KI$500))</f>
        <v>76413.19</v>
      </c>
      <c r="D5" s="72">
        <f>SUM(COUNTIF('Raw Data'!$C$5:$C$500,{"Bernalillo"}))</f>
        <v>5</v>
      </c>
      <c r="E5" s="44">
        <f>SUM(SUMIF('Raw Data'!$C$5:$C$500,{"Bernalillo"}, 'Raw Data'!$I$5:$I$500))/SUM(COUNTIF('Raw Data'!$C$5:$C$500,{"Bernalillo"}))</f>
        <v>15282.638000000001</v>
      </c>
      <c r="F5" s="53">
        <f>SUM(SUMIF('Raw Data'!$C$5:$C$500,{"Bernalillo"}, 'Raw Data'!$K$5:$K$500))/SUM(COUNTIF('Raw Data'!$C$5:$C$500,{"Bernalillo"}))</f>
        <v>0.47082366425747618</v>
      </c>
      <c r="G5" s="44">
        <f>SUM(SUMIF('Raw Data'!$C$5:$C$500,{"Bernalillo"}, 'Raw Data'!$N$5:$N$500))/SUM(COUNTIF('Raw Data'!$C$5:$C$500,{"Bernalillo"}))</f>
        <v>77.19800000000005</v>
      </c>
      <c r="H5" s="74"/>
      <c r="I5" s="73"/>
      <c r="J5" s="73"/>
    </row>
    <row r="6" spans="1:17" ht="15.75" customHeight="1" x14ac:dyDescent="0.25">
      <c r="A6" s="50"/>
      <c r="B6" s="34" t="s">
        <v>47</v>
      </c>
      <c r="C6" s="44">
        <f>SUM(SUMIF('Raw Data'!$C$5:$C$500,{"Los Alamos"}, 'Raw Data'!$I$5:$KI$500))</f>
        <v>30411.200000000001</v>
      </c>
      <c r="D6" s="72">
        <f>SUM(COUNTIF('Raw Data'!$C$5:$C$500,{"Los Alamos"}))</f>
        <v>2</v>
      </c>
      <c r="E6" s="44">
        <f>SUM(SUMIF('Raw Data'!$C$5:$C$500,{"Los Alamos"}, 'Raw Data'!$I$5:$I$500))/SUM(COUNTIF('Raw Data'!$C$5:$C$500,{"Los Alamos"}))</f>
        <v>15205.6</v>
      </c>
      <c r="F6" s="53">
        <f>SUM(SUMIF('Raw Data'!$C$5:$C$500,{"Los Alamos"}, 'Raw Data'!$K$5:$K$500))/SUM(COUNTIF('Raw Data'!$C$5:$C$500,{"Los Alamos"}))</f>
        <v>0.54807932257857883</v>
      </c>
      <c r="G6" s="44">
        <f>SUM(SUMIF('Raw Data'!$C$5:$C$500,{"Los Alamos"}, 'Raw Data'!$N$5:$N$500))/SUM(COUNTIF('Raw Data'!$C$5:$C$500,{"Los Alamos"}))</f>
        <v>1186.3499999999999</v>
      </c>
      <c r="H6" s="74"/>
      <c r="I6" s="73"/>
      <c r="J6" s="73"/>
    </row>
    <row r="7" spans="1:17" ht="15.75" customHeight="1" x14ac:dyDescent="0.25">
      <c r="A7" s="50"/>
      <c r="B7" s="33" t="s">
        <v>45</v>
      </c>
      <c r="C7" s="44">
        <f>SUM(SUMIF('Raw Data'!$C$5:$C$500,{"Los Lunas"}, 'Raw Data'!$I$5:$KI$500))</f>
        <v>62256.259999999995</v>
      </c>
      <c r="D7" s="72">
        <f>SUM(COUNTIF('Raw Data'!$C$5:$C$500,{"Los Lunas"}))</f>
        <v>4</v>
      </c>
      <c r="E7" s="44">
        <f>SUM(SUMIF('Raw Data'!$C$5:$C$500,{"Los Lunas"}, 'Raw Data'!$I$5:$I$500))/SUM(COUNTIF('Raw Data'!$C$5:$C$500,{"Los Lunas"}))</f>
        <v>15564.064999999999</v>
      </c>
      <c r="F7" s="53">
        <f>SUM(SUMIF('Raw Data'!$C$5:$C$500,{"Los Lunas"}, 'Raw Data'!$K$5:$K$500))/SUM(COUNTIF('Raw Data'!$C$5:$C$500,{"Los Lunas"}))</f>
        <v>0.5765584889176949</v>
      </c>
      <c r="G7" s="44">
        <f>SUM(SUMIF('Raw Data'!$C$5:$C$500,{"Los Lunas"}, 'Raw Data'!$N$5:$N$500))/SUM(COUNTIF('Raw Data'!$C$5:$C$500,{"Los Lunas"}))</f>
        <v>394.89</v>
      </c>
      <c r="H7" s="74"/>
      <c r="I7" s="73"/>
      <c r="J7" s="73"/>
    </row>
    <row r="8" spans="1:17" ht="15.75" customHeight="1" x14ac:dyDescent="0.25">
      <c r="A8" s="50"/>
      <c r="B8" s="34" t="s">
        <v>41</v>
      </c>
      <c r="C8" s="44">
        <f>SUM(SUMIF('Raw Data'!$C$5:$C$500,{"Rio Rancho"}, 'Raw Data'!$I$5:$KI$500))</f>
        <v>586634.87000000011</v>
      </c>
      <c r="D8" s="72">
        <f>SUM(COUNTIF('Raw Data'!$C$5:$C$500,{"Rio Rancho"}))</f>
        <v>45</v>
      </c>
      <c r="E8" s="44">
        <f>SUM(SUMIF('Raw Data'!$C$5:$C$500,{"Rio Rancho"}, 'Raw Data'!$I$5:$I$500))/SUM(COUNTIF('Raw Data'!$C$5:$C$500,{"Rio Rancho"}))</f>
        <v>13036.330444444447</v>
      </c>
      <c r="F8" s="53">
        <f>SUM(SUMIF('Raw Data'!$C$5:$C$500,{"Rio Rancho"}, 'Raw Data'!$K$5:$K$500))/SUM(COUNTIF('Raw Data'!$C$5:$C$500,{"Rio Rancho"}))</f>
        <v>0.5207611629860962</v>
      </c>
      <c r="G8" s="44">
        <f>SUM(SUMIF('Raw Data'!$C$5:$C$500,{"Rio Rancho"}, 'Raw Data'!$N$5:$N$500))/SUM(COUNTIF('Raw Data'!$C$5:$C$500,{"Rio Rancho"}))</f>
        <v>317.43844444444449</v>
      </c>
      <c r="H8" s="74"/>
      <c r="I8" s="73"/>
      <c r="J8" s="73"/>
      <c r="Q8" s="6"/>
    </row>
    <row r="9" spans="1:17" ht="15.75" customHeight="1" x14ac:dyDescent="0.25">
      <c r="A9" s="50"/>
      <c r="B9" s="33" t="s">
        <v>35</v>
      </c>
      <c r="C9" s="44">
        <f>SUM(SUMIF('Raw Data'!$C$5:$C$500,{"Sandia Park"}, 'Raw Data'!$I$5:$KI$500))</f>
        <v>59800.350000000006</v>
      </c>
      <c r="D9" s="72">
        <f>SUM(COUNTIF('Raw Data'!$C$5:$C$500,{"Sandia Park"}))</f>
        <v>3</v>
      </c>
      <c r="E9" s="44">
        <f>SUM(SUMIF('Raw Data'!$C$5:$C$500,{"Sandia Park"}, 'Raw Data'!$I$5:$I$500))/SUM(COUNTIF('Raw Data'!$C$5:$C$500,{"Sandia Park"}))</f>
        <v>19933.45</v>
      </c>
      <c r="F9" s="53">
        <f>SUM(SUMIF('Raw Data'!$C$5:$C$500,{"Sandia Park"}, 'Raw Data'!$K$5:$K$500))/SUM(COUNTIF('Raw Data'!$C$5:$C$500,{"Sandia Park"}))</f>
        <v>0.58240038571491182</v>
      </c>
      <c r="G9" s="44">
        <f>SUM(SUMIF('Raw Data'!$C$5:$C$500,{"Sandia Park"}, 'Raw Data'!$N$5:$N$500))/SUM(COUNTIF('Raw Data'!$C$5:$C$500,{"Sandia Park"}))</f>
        <v>2012.82</v>
      </c>
      <c r="H9" s="74"/>
      <c r="I9" s="73"/>
      <c r="J9" s="73"/>
    </row>
    <row r="10" spans="1:17" ht="15.75" customHeight="1" x14ac:dyDescent="0.25">
      <c r="A10" s="50"/>
      <c r="B10" s="34" t="s">
        <v>38</v>
      </c>
      <c r="C10" s="44">
        <f>SUM(SUMIF('Raw Data'!$C$5:$C$500,{"Santa Fe"}, 'Raw Data'!$I$5:$KI$500))</f>
        <v>358191.83000000007</v>
      </c>
      <c r="D10" s="72">
        <f>SUM(COUNTIF('Raw Data'!$C$5:$C$500,{"Santa Fe"}))</f>
        <v>21</v>
      </c>
      <c r="E10" s="44">
        <f>SUM(SUMIF('Raw Data'!$C$5:$C$500,{"Santa Fe"}, 'Raw Data'!$I$5:$I$500))/SUM(COUNTIF('Raw Data'!$C$5:$C$500,{"Santa Fe"}))</f>
        <v>17056.753809523812</v>
      </c>
      <c r="F10" s="53">
        <f>SUM(SUMIF('Raw Data'!$C$5:$C$500,{"Santa Fe"}, 'Raw Data'!$K$5:$K$500))/SUM(COUNTIF('Raw Data'!$C$5:$C$500,{"Santa Fe"}))</f>
        <v>0.47522080048867243</v>
      </c>
      <c r="G10" s="44">
        <f>SUM(SUMIF('Raw Data'!$C$5:$C$500,{"Santa Fe"}, 'Raw Data'!$N$5:$N$500))/SUM(COUNTIF('Raw Data'!$C$5:$C$500,{"Santa Fe"}))</f>
        <v>90.412380952380929</v>
      </c>
      <c r="H10" s="74"/>
      <c r="I10" s="73"/>
      <c r="J10" s="73"/>
    </row>
    <row r="11" spans="1:17" ht="15.75" customHeight="1" x14ac:dyDescent="0.25">
      <c r="A11" s="50"/>
      <c r="B11" s="34" t="s">
        <v>40</v>
      </c>
      <c r="C11" s="44">
        <f>SUM(SUMIF('Raw Data'!$C$5:$C$500,{"Taos"}, 'Raw Data'!$I$5:$KI$500))</f>
        <v>0</v>
      </c>
      <c r="D11" s="72">
        <f>SUM(COUNTIF('Raw Data'!$C$5:$C$500,{"Taos"}))</f>
        <v>0</v>
      </c>
      <c r="E11" s="44" t="e">
        <f>SUM(SUMIF('Raw Data'!$C$5:$C$500,{"Taos"}, 'Raw Data'!$I$5:$I$500))/SUM(COUNTIF('Raw Data'!$C$5:$C$500,{"Taos"}))</f>
        <v>#DIV/0!</v>
      </c>
      <c r="F11" s="53" t="e">
        <f>SUM(SUMIF('Raw Data'!$C$5:$C$500,{"Taos"}, 'Raw Data'!$K$5:$K$500))/SUM(COUNTIF('Raw Data'!$C$5:$C$500,{"Taos"}))</f>
        <v>#DIV/0!</v>
      </c>
      <c r="G11" s="44" t="e">
        <f>SUM(SUMIF('Raw Data'!$C$5:$C$500,{"Taos"}, 'Raw Data'!$N$5:$N$500))/SUM(COUNTIF('Raw Data'!$C$5:$C$500,{"Taos"}))</f>
        <v>#DIV/0!</v>
      </c>
      <c r="H11" s="74"/>
      <c r="I11" s="73"/>
      <c r="J11" s="73"/>
    </row>
    <row r="12" spans="1:17" ht="15.75" customHeight="1" x14ac:dyDescent="0.25">
      <c r="A12" s="50"/>
      <c r="B12" s="33" t="s">
        <v>54</v>
      </c>
      <c r="C12" s="44">
        <f>SUM(SUMIF('Raw Data'!$C$5:$C$500,{"Tijeras"}, 'Raw Data'!$I$5:$KI$500))</f>
        <v>0</v>
      </c>
      <c r="D12" s="72">
        <f>SUM(COUNTIF('Raw Data'!$C$5:$C$500,{"Tijeras"}))</f>
        <v>0</v>
      </c>
      <c r="E12" s="44" t="e">
        <f>SUM(SUMIF('Raw Data'!$C$5:$C$500,{"Tijeras"}, 'Raw Data'!$I$5:$I$500))/SUM(COUNTIF('Raw Data'!$C$5:$C$500,{"Tijeras"}))</f>
        <v>#DIV/0!</v>
      </c>
      <c r="F12" s="53" t="e">
        <f>SUM(SUMIF('Raw Data'!$C$5:$C$500,{"Tijeras"}, 'Raw Data'!$K$5:$K$500))/SUM(COUNTIF('Raw Data'!$C$5:$C$500,{"Tijeras"}))</f>
        <v>#DIV/0!</v>
      </c>
      <c r="G12" s="44" t="e">
        <f>SUM(SUMIF('Raw Data'!$C$5:$C$500,{"Tijeras"}, 'Raw Data'!$N$5:$N$500))/SUM(COUNTIF('Raw Data'!$C$5:$C$500,{"Tijeras"}))</f>
        <v>#DIV/0!</v>
      </c>
      <c r="H12" s="74"/>
      <c r="I12" s="73"/>
      <c r="J12" s="73"/>
    </row>
    <row r="13" spans="1:17" ht="15.75" customHeight="1" thickBot="1" x14ac:dyDescent="0.3">
      <c r="A13" s="50"/>
      <c r="B13" s="34" t="s">
        <v>44</v>
      </c>
      <c r="C13" s="45">
        <f>SUM(SUMIF('Raw Data'!$C$5:$C$500,{"Valencia"}, 'Raw Data'!$I$5:$KI$500))</f>
        <v>0</v>
      </c>
      <c r="D13" s="56">
        <f>SUM(COUNTIF('Raw Data'!$C$5:$C$500,{"Valencia"}))</f>
        <v>0</v>
      </c>
      <c r="E13" s="45" t="e">
        <f>SUM(SUMIF('Raw Data'!$C$5:$C$500,{"Valencia"}, 'Raw Data'!$I$5:$I$500))/SUM(COUNTIF('Raw Data'!$C$5:$C$500,{"Valencia"}))</f>
        <v>#DIV/0!</v>
      </c>
      <c r="F13" s="52" t="e">
        <f>SUM(SUMIF('Raw Data'!$C$5:$C$500,{"Valencia"}, 'Raw Data'!$K$5:$K$500))/SUM(COUNTIF('Raw Data'!$C$5:$C$500,{"Valencia"}))</f>
        <v>#DIV/0!</v>
      </c>
      <c r="G13" s="45" t="e">
        <f>SUM(SUMIF('Raw Data'!$C$5:$C$500,{"Valencia"}, 'Raw Data'!$N$5:$N$500))/SUM(COUNTIF('Raw Data'!$C$5:$C$500,{"Valencia"}))</f>
        <v>#DIV/0!</v>
      </c>
      <c r="H13" s="74"/>
      <c r="I13" s="73"/>
      <c r="J13" s="73"/>
      <c r="Q13" s="6"/>
    </row>
    <row r="14" spans="1:17" ht="15.75" customHeight="1" x14ac:dyDescent="0.25">
      <c r="B14" s="116"/>
      <c r="C14" s="150">
        <f>SUM(C4:C13)</f>
        <v>3569534.2099999995</v>
      </c>
      <c r="D14" s="154">
        <f>SUM(D4:D13)</f>
        <v>248</v>
      </c>
      <c r="E14" s="150" t="e">
        <f>AVERAGE(E4:E13)</f>
        <v>#DIV/0!</v>
      </c>
      <c r="F14" s="152" t="e">
        <f>AVERAGE(F4:F13)</f>
        <v>#DIV/0!</v>
      </c>
      <c r="G14" s="150" t="e">
        <f>AVERAGE(G4:G13)</f>
        <v>#DIV/0!</v>
      </c>
      <c r="H14" s="158"/>
      <c r="I14" s="156"/>
      <c r="J14" s="156"/>
    </row>
    <row r="15" spans="1:17" ht="15.75" customHeight="1" thickBot="1" x14ac:dyDescent="0.3">
      <c r="B15" s="117"/>
      <c r="C15" s="151"/>
      <c r="D15" s="155"/>
      <c r="E15" s="151"/>
      <c r="F15" s="153"/>
      <c r="G15" s="151"/>
      <c r="H15" s="158"/>
      <c r="I15" s="156"/>
      <c r="J15" s="156"/>
    </row>
    <row r="16" spans="1:17" ht="15.75" thickBot="1" x14ac:dyDescent="0.3">
      <c r="B16" s="46"/>
      <c r="C16" s="47"/>
      <c r="D16" s="47"/>
      <c r="E16" s="47"/>
      <c r="F16" s="47"/>
      <c r="G16" s="47"/>
      <c r="H16" s="47"/>
      <c r="I16" s="47"/>
      <c r="J16" s="47"/>
    </row>
    <row r="17" spans="2:23" x14ac:dyDescent="0.25">
      <c r="B17" s="58"/>
      <c r="C17" s="59"/>
      <c r="D17" s="59"/>
      <c r="E17" s="59"/>
      <c r="F17" s="59"/>
      <c r="G17" s="59"/>
      <c r="H17" s="59"/>
      <c r="I17" s="59"/>
      <c r="J17" s="59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1"/>
    </row>
    <row r="18" spans="2:23" x14ac:dyDescent="0.25">
      <c r="B18" s="62"/>
      <c r="C18" s="48"/>
      <c r="D18" s="48"/>
      <c r="E18" s="48"/>
      <c r="F18" s="48"/>
      <c r="G18" s="48"/>
      <c r="H18" s="48"/>
      <c r="I18" s="48"/>
      <c r="J18" s="48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4"/>
    </row>
    <row r="19" spans="2:23" x14ac:dyDescent="0.25">
      <c r="B19" s="62"/>
      <c r="C19" s="48"/>
      <c r="D19" s="48"/>
      <c r="E19" s="48"/>
      <c r="F19" s="48"/>
      <c r="G19" s="48"/>
      <c r="H19" s="48"/>
      <c r="I19" s="48"/>
      <c r="J19" s="48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4"/>
    </row>
    <row r="20" spans="2:23" x14ac:dyDescent="0.25">
      <c r="B20" s="62"/>
      <c r="C20" s="48"/>
      <c r="D20" s="48"/>
      <c r="E20" s="48"/>
      <c r="F20" s="48"/>
      <c r="G20" s="48"/>
      <c r="H20" s="48"/>
      <c r="I20" s="48"/>
      <c r="J20" s="48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4"/>
    </row>
    <row r="21" spans="2:23" x14ac:dyDescent="0.25">
      <c r="B21" s="62"/>
      <c r="C21" s="48"/>
      <c r="D21" s="48"/>
      <c r="E21" s="48"/>
      <c r="F21" s="48"/>
      <c r="G21" s="48"/>
      <c r="H21" s="48"/>
      <c r="I21" s="48"/>
      <c r="J21" s="48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4"/>
    </row>
    <row r="22" spans="2:23" x14ac:dyDescent="0.25">
      <c r="B22" s="62"/>
      <c r="C22" s="48"/>
      <c r="D22" s="48"/>
      <c r="E22" s="48"/>
      <c r="F22" s="48"/>
      <c r="G22" s="48"/>
      <c r="H22" s="48"/>
      <c r="I22" s="48"/>
      <c r="J22" s="48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4"/>
    </row>
    <row r="23" spans="2:23" x14ac:dyDescent="0.25">
      <c r="B23" s="62"/>
      <c r="C23" s="48"/>
      <c r="D23" s="48"/>
      <c r="E23" s="48"/>
      <c r="F23" s="48"/>
      <c r="G23" s="48"/>
      <c r="H23" s="48"/>
      <c r="I23" s="48"/>
      <c r="J23" s="48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4"/>
    </row>
    <row r="24" spans="2:23" x14ac:dyDescent="0.25">
      <c r="B24" s="62"/>
      <c r="C24" s="48"/>
      <c r="D24" s="48"/>
      <c r="E24" s="48"/>
      <c r="F24" s="48"/>
      <c r="G24" s="48"/>
      <c r="H24" s="48"/>
      <c r="I24" s="48"/>
      <c r="J24" s="48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4"/>
    </row>
    <row r="25" spans="2:23" x14ac:dyDescent="0.25">
      <c r="B25" s="62"/>
      <c r="C25" s="48"/>
      <c r="D25" s="48"/>
      <c r="E25" s="48"/>
      <c r="F25" s="48"/>
      <c r="G25" s="48"/>
      <c r="H25" s="48"/>
      <c r="I25" s="48"/>
      <c r="J25" s="48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4"/>
    </row>
    <row r="26" spans="2:23" x14ac:dyDescent="0.25">
      <c r="B26" s="62"/>
      <c r="C26" s="48"/>
      <c r="D26" s="48"/>
      <c r="E26" s="48"/>
      <c r="F26" s="48"/>
      <c r="G26" s="48"/>
      <c r="H26" s="48"/>
      <c r="I26" s="48"/>
      <c r="J26" s="48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4"/>
    </row>
    <row r="27" spans="2:23" x14ac:dyDescent="0.25">
      <c r="B27" s="62"/>
      <c r="C27" s="48"/>
      <c r="D27" s="48"/>
      <c r="E27" s="48"/>
      <c r="F27" s="48"/>
      <c r="G27" s="48"/>
      <c r="H27" s="48"/>
      <c r="I27" s="48"/>
      <c r="J27" s="48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4"/>
    </row>
    <row r="28" spans="2:23" x14ac:dyDescent="0.25">
      <c r="B28" s="62"/>
      <c r="C28" s="48"/>
      <c r="D28" s="48"/>
      <c r="E28" s="48"/>
      <c r="F28" s="48"/>
      <c r="G28" s="48"/>
      <c r="H28" s="48"/>
      <c r="I28" s="48"/>
      <c r="J28" s="48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4"/>
    </row>
    <row r="29" spans="2:23" x14ac:dyDescent="0.25">
      <c r="B29" s="62"/>
      <c r="C29" s="48"/>
      <c r="D29" s="48"/>
      <c r="E29" s="48"/>
      <c r="F29" s="48"/>
      <c r="G29" s="48"/>
      <c r="H29" s="48"/>
      <c r="I29" s="48"/>
      <c r="J29" s="48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4"/>
    </row>
    <row r="30" spans="2:23" x14ac:dyDescent="0.25">
      <c r="B30" s="62"/>
      <c r="C30" s="48"/>
      <c r="D30" s="48"/>
      <c r="E30" s="48"/>
      <c r="F30" s="48"/>
      <c r="G30" s="48"/>
      <c r="H30" s="48"/>
      <c r="I30" s="48"/>
      <c r="J30" s="48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4"/>
    </row>
    <row r="31" spans="2:23" x14ac:dyDescent="0.25">
      <c r="B31" s="62"/>
      <c r="C31" s="48"/>
      <c r="D31" s="48"/>
      <c r="E31" s="48"/>
      <c r="F31" s="48"/>
      <c r="G31" s="48"/>
      <c r="H31" s="48"/>
      <c r="I31" s="48"/>
      <c r="J31" s="48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4"/>
    </row>
    <row r="32" spans="2:23" x14ac:dyDescent="0.25">
      <c r="B32" s="62"/>
      <c r="C32" s="48"/>
      <c r="D32" s="48"/>
      <c r="E32" s="48"/>
      <c r="F32" s="48"/>
      <c r="G32" s="48"/>
      <c r="H32" s="48"/>
      <c r="I32" s="48"/>
      <c r="J32" s="48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4"/>
    </row>
    <row r="33" spans="2:23" x14ac:dyDescent="0.25">
      <c r="B33" s="62"/>
      <c r="C33" s="48"/>
      <c r="D33" s="48"/>
      <c r="E33" s="48"/>
      <c r="F33" s="48"/>
      <c r="G33" s="48"/>
      <c r="H33" s="48"/>
      <c r="I33" s="48"/>
      <c r="J33" s="48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4"/>
    </row>
    <row r="34" spans="2:23" x14ac:dyDescent="0.25">
      <c r="B34" s="62"/>
      <c r="C34" s="48"/>
      <c r="D34" s="48"/>
      <c r="E34" s="48"/>
      <c r="F34" s="48"/>
      <c r="G34" s="48"/>
      <c r="H34" s="48"/>
      <c r="I34" s="48"/>
      <c r="J34" s="48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4"/>
    </row>
    <row r="35" spans="2:23" x14ac:dyDescent="0.25">
      <c r="B35" s="62"/>
      <c r="C35" s="48"/>
      <c r="D35" s="48"/>
      <c r="E35" s="48"/>
      <c r="F35" s="48"/>
      <c r="G35" s="48"/>
      <c r="H35" s="48"/>
      <c r="I35" s="48"/>
      <c r="J35" s="48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4"/>
    </row>
    <row r="36" spans="2:23" x14ac:dyDescent="0.25">
      <c r="B36" s="65"/>
      <c r="C36" s="47"/>
      <c r="D36" s="47"/>
      <c r="E36" s="47"/>
      <c r="F36" s="47"/>
      <c r="G36" s="47"/>
      <c r="H36" s="47"/>
      <c r="I36" s="47"/>
      <c r="J36" s="47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4"/>
    </row>
    <row r="37" spans="2:23" x14ac:dyDescent="0.25">
      <c r="B37" s="65"/>
      <c r="C37" s="47"/>
      <c r="D37" s="47"/>
      <c r="E37" s="47"/>
      <c r="F37" s="47"/>
      <c r="G37" s="47"/>
      <c r="H37" s="47"/>
      <c r="I37" s="47"/>
      <c r="J37" s="47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4"/>
    </row>
    <row r="38" spans="2:23" x14ac:dyDescent="0.25">
      <c r="B38" s="65"/>
      <c r="C38" s="47"/>
      <c r="D38" s="47"/>
      <c r="E38" s="47"/>
      <c r="F38" s="47"/>
      <c r="G38" s="47"/>
      <c r="H38" s="47"/>
      <c r="I38" s="47"/>
      <c r="J38" s="47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4"/>
    </row>
    <row r="39" spans="2:23" x14ac:dyDescent="0.25">
      <c r="B39" s="65"/>
      <c r="C39" s="47"/>
      <c r="D39" s="47"/>
      <c r="E39" s="47"/>
      <c r="F39" s="47"/>
      <c r="G39" s="47"/>
      <c r="H39" s="47"/>
      <c r="I39" s="47"/>
      <c r="J39" s="47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4"/>
    </row>
    <row r="40" spans="2:23" x14ac:dyDescent="0.25">
      <c r="B40" s="65"/>
      <c r="C40" s="47"/>
      <c r="D40" s="47"/>
      <c r="E40" s="47"/>
      <c r="F40" s="47"/>
      <c r="G40" s="47"/>
      <c r="H40" s="47"/>
      <c r="I40" s="47"/>
      <c r="J40" s="47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4"/>
    </row>
    <row r="41" spans="2:23" x14ac:dyDescent="0.25">
      <c r="B41" s="65"/>
      <c r="C41" s="47"/>
      <c r="D41" s="47"/>
      <c r="E41" s="47"/>
      <c r="F41" s="47"/>
      <c r="G41" s="47"/>
      <c r="H41" s="47"/>
      <c r="I41" s="47"/>
      <c r="J41" s="47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4"/>
    </row>
    <row r="42" spans="2:23" x14ac:dyDescent="0.25">
      <c r="B42" s="65"/>
      <c r="C42" s="47"/>
      <c r="D42" s="47"/>
      <c r="E42" s="47"/>
      <c r="F42" s="47"/>
      <c r="G42" s="47"/>
      <c r="H42" s="47"/>
      <c r="I42" s="47"/>
      <c r="J42" s="47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4"/>
    </row>
    <row r="43" spans="2:23" x14ac:dyDescent="0.25">
      <c r="B43" s="65"/>
      <c r="C43" s="47"/>
      <c r="D43" s="47"/>
      <c r="E43" s="47"/>
      <c r="F43" s="47"/>
      <c r="G43" s="47"/>
      <c r="H43" s="47"/>
      <c r="I43" s="47"/>
      <c r="J43" s="47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4"/>
    </row>
    <row r="44" spans="2:23" x14ac:dyDescent="0.25">
      <c r="B44" s="65"/>
      <c r="C44" s="47"/>
      <c r="D44" s="47"/>
      <c r="E44" s="47"/>
      <c r="F44" s="47"/>
      <c r="G44" s="47"/>
      <c r="H44" s="47"/>
      <c r="I44" s="47"/>
      <c r="J44" s="47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4"/>
    </row>
    <row r="45" spans="2:23" x14ac:dyDescent="0.25">
      <c r="B45" s="65"/>
      <c r="C45" s="47"/>
      <c r="D45" s="47"/>
      <c r="E45" s="47"/>
      <c r="F45" s="47"/>
      <c r="G45" s="47"/>
      <c r="H45" s="47"/>
      <c r="I45" s="47"/>
      <c r="J45" s="47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4"/>
    </row>
    <row r="46" spans="2:23" x14ac:dyDescent="0.25">
      <c r="B46" s="65"/>
      <c r="C46" s="47"/>
      <c r="D46" s="47"/>
      <c r="E46" s="47"/>
      <c r="F46" s="47"/>
      <c r="G46" s="47"/>
      <c r="H46" s="47"/>
      <c r="I46" s="47"/>
      <c r="J46" s="47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4"/>
    </row>
    <row r="47" spans="2:23" ht="15.75" thickBot="1" x14ac:dyDescent="0.3">
      <c r="B47" s="66"/>
      <c r="C47" s="67"/>
      <c r="D47" s="67"/>
      <c r="E47" s="67"/>
      <c r="F47" s="67"/>
      <c r="G47" s="67"/>
      <c r="H47" s="67"/>
      <c r="I47" s="67"/>
      <c r="J47" s="6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9"/>
    </row>
    <row r="48" spans="2:23" ht="15.75" thickBot="1" x14ac:dyDescent="0.3"/>
    <row r="49" spans="2:23" x14ac:dyDescent="0.25">
      <c r="B49" s="70"/>
      <c r="C49" s="71"/>
      <c r="D49" s="71"/>
      <c r="E49" s="71"/>
      <c r="F49" s="71"/>
      <c r="G49" s="71"/>
      <c r="H49" s="71"/>
      <c r="I49" s="71"/>
      <c r="J49" s="71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1"/>
    </row>
    <row r="50" spans="2:23" x14ac:dyDescent="0.25">
      <c r="B50" s="65"/>
      <c r="C50" s="47"/>
      <c r="D50" s="47"/>
      <c r="E50" s="47"/>
      <c r="F50" s="47"/>
      <c r="G50" s="47"/>
      <c r="H50" s="47"/>
      <c r="I50" s="47"/>
      <c r="J50" s="47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4"/>
    </row>
    <row r="51" spans="2:23" x14ac:dyDescent="0.25">
      <c r="B51" s="65"/>
      <c r="C51" s="47"/>
      <c r="D51" s="47"/>
      <c r="E51" s="47"/>
      <c r="F51" s="47"/>
      <c r="G51" s="47"/>
      <c r="H51" s="47"/>
      <c r="I51" s="47"/>
      <c r="J51" s="47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4"/>
    </row>
    <row r="52" spans="2:23" x14ac:dyDescent="0.25">
      <c r="B52" s="65"/>
      <c r="C52" s="47"/>
      <c r="D52" s="47"/>
      <c r="E52" s="47"/>
      <c r="F52" s="47"/>
      <c r="G52" s="47"/>
      <c r="H52" s="47"/>
      <c r="I52" s="47"/>
      <c r="J52" s="47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4"/>
    </row>
    <row r="53" spans="2:23" x14ac:dyDescent="0.25">
      <c r="B53" s="65"/>
      <c r="C53" s="47"/>
      <c r="D53" s="47"/>
      <c r="E53" s="47"/>
      <c r="F53" s="47"/>
      <c r="G53" s="47"/>
      <c r="H53" s="47"/>
      <c r="I53" s="47"/>
      <c r="J53" s="47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4"/>
    </row>
    <row r="54" spans="2:23" x14ac:dyDescent="0.25">
      <c r="B54" s="65"/>
      <c r="C54" s="47"/>
      <c r="D54" s="47"/>
      <c r="E54" s="47"/>
      <c r="F54" s="47"/>
      <c r="G54" s="47"/>
      <c r="H54" s="47"/>
      <c r="I54" s="47"/>
      <c r="J54" s="4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4"/>
    </row>
    <row r="55" spans="2:23" x14ac:dyDescent="0.25">
      <c r="B55" s="65"/>
      <c r="C55" s="47"/>
      <c r="D55" s="47"/>
      <c r="E55" s="47"/>
      <c r="F55" s="47"/>
      <c r="G55" s="47"/>
      <c r="H55" s="47"/>
      <c r="I55" s="47"/>
      <c r="J55" s="47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4"/>
    </row>
    <row r="56" spans="2:23" x14ac:dyDescent="0.25">
      <c r="B56" s="65"/>
      <c r="C56" s="47"/>
      <c r="D56" s="47"/>
      <c r="E56" s="47"/>
      <c r="F56" s="47"/>
      <c r="G56" s="47"/>
      <c r="H56" s="47"/>
      <c r="I56" s="47"/>
      <c r="J56" s="47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4"/>
    </row>
    <row r="57" spans="2:23" x14ac:dyDescent="0.25">
      <c r="B57" s="65"/>
      <c r="C57" s="47"/>
      <c r="D57" s="47"/>
      <c r="E57" s="47"/>
      <c r="F57" s="47"/>
      <c r="G57" s="47"/>
      <c r="H57" s="47"/>
      <c r="I57" s="47"/>
      <c r="J57" s="47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4"/>
    </row>
    <row r="58" spans="2:23" x14ac:dyDescent="0.25">
      <c r="B58" s="65"/>
      <c r="C58" s="47"/>
      <c r="D58" s="47"/>
      <c r="E58" s="47"/>
      <c r="F58" s="47"/>
      <c r="G58" s="47"/>
      <c r="H58" s="47"/>
      <c r="I58" s="47"/>
      <c r="J58" s="47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4"/>
    </row>
    <row r="59" spans="2:23" x14ac:dyDescent="0.25">
      <c r="B59" s="65"/>
      <c r="C59" s="47"/>
      <c r="D59" s="47"/>
      <c r="E59" s="47"/>
      <c r="F59" s="47"/>
      <c r="G59" s="47"/>
      <c r="H59" s="47"/>
      <c r="I59" s="47"/>
      <c r="J59" s="47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4"/>
    </row>
    <row r="60" spans="2:23" x14ac:dyDescent="0.25">
      <c r="B60" s="65"/>
      <c r="C60" s="47"/>
      <c r="D60" s="47"/>
      <c r="E60" s="47"/>
      <c r="F60" s="47"/>
      <c r="G60" s="47"/>
      <c r="H60" s="47"/>
      <c r="I60" s="47"/>
      <c r="J60" s="47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4"/>
    </row>
    <row r="61" spans="2:23" x14ac:dyDescent="0.25">
      <c r="B61" s="65"/>
      <c r="C61" s="47"/>
      <c r="D61" s="47"/>
      <c r="E61" s="47"/>
      <c r="F61" s="47"/>
      <c r="G61" s="47"/>
      <c r="H61" s="47"/>
      <c r="I61" s="47"/>
      <c r="J61" s="47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4"/>
    </row>
    <row r="62" spans="2:23" x14ac:dyDescent="0.25">
      <c r="B62" s="65"/>
      <c r="C62" s="47"/>
      <c r="D62" s="47"/>
      <c r="E62" s="47"/>
      <c r="F62" s="47"/>
      <c r="G62" s="47"/>
      <c r="H62" s="47"/>
      <c r="I62" s="47"/>
      <c r="J62" s="47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4"/>
    </row>
    <row r="63" spans="2:23" x14ac:dyDescent="0.25">
      <c r="B63" s="65"/>
      <c r="C63" s="47"/>
      <c r="D63" s="47"/>
      <c r="E63" s="47"/>
      <c r="F63" s="47"/>
      <c r="G63" s="47"/>
      <c r="H63" s="47"/>
      <c r="I63" s="47"/>
      <c r="J63" s="47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4"/>
    </row>
    <row r="64" spans="2:23" x14ac:dyDescent="0.25">
      <c r="B64" s="65"/>
      <c r="C64" s="47"/>
      <c r="D64" s="47"/>
      <c r="E64" s="47"/>
      <c r="F64" s="47"/>
      <c r="G64" s="47"/>
      <c r="H64" s="47"/>
      <c r="I64" s="47"/>
      <c r="J64" s="47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4"/>
    </row>
    <row r="65" spans="2:23" x14ac:dyDescent="0.25">
      <c r="B65" s="65"/>
      <c r="C65" s="47"/>
      <c r="D65" s="47"/>
      <c r="E65" s="47"/>
      <c r="F65" s="47"/>
      <c r="G65" s="47"/>
      <c r="H65" s="47"/>
      <c r="I65" s="47"/>
      <c r="J65" s="47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4"/>
    </row>
    <row r="66" spans="2:23" x14ac:dyDescent="0.25">
      <c r="B66" s="65"/>
      <c r="C66" s="47"/>
      <c r="D66" s="47"/>
      <c r="E66" s="47"/>
      <c r="F66" s="47"/>
      <c r="G66" s="47"/>
      <c r="H66" s="47"/>
      <c r="I66" s="47"/>
      <c r="J66" s="47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4"/>
    </row>
    <row r="67" spans="2:23" x14ac:dyDescent="0.25">
      <c r="B67" s="65"/>
      <c r="C67" s="47"/>
      <c r="D67" s="47"/>
      <c r="E67" s="47"/>
      <c r="F67" s="47"/>
      <c r="G67" s="47"/>
      <c r="H67" s="47"/>
      <c r="I67" s="47"/>
      <c r="J67" s="47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4"/>
    </row>
    <row r="68" spans="2:23" x14ac:dyDescent="0.25">
      <c r="B68" s="65"/>
      <c r="C68" s="47"/>
      <c r="D68" s="47"/>
      <c r="E68" s="47"/>
      <c r="F68" s="47"/>
      <c r="G68" s="47"/>
      <c r="H68" s="47"/>
      <c r="I68" s="47"/>
      <c r="J68" s="47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4"/>
    </row>
    <row r="69" spans="2:23" x14ac:dyDescent="0.25">
      <c r="B69" s="65"/>
      <c r="C69" s="47"/>
      <c r="D69" s="47"/>
      <c r="E69" s="47"/>
      <c r="F69" s="47"/>
      <c r="G69" s="47"/>
      <c r="H69" s="47"/>
      <c r="I69" s="47"/>
      <c r="J69" s="47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4"/>
    </row>
    <row r="70" spans="2:23" x14ac:dyDescent="0.25">
      <c r="B70" s="65"/>
      <c r="C70" s="47"/>
      <c r="D70" s="47"/>
      <c r="E70" s="47"/>
      <c r="F70" s="47"/>
      <c r="G70" s="47"/>
      <c r="H70" s="47"/>
      <c r="I70" s="47"/>
      <c r="J70" s="47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4"/>
    </row>
    <row r="71" spans="2:23" x14ac:dyDescent="0.25">
      <c r="B71" s="65"/>
      <c r="C71" s="47"/>
      <c r="D71" s="47"/>
      <c r="E71" s="47"/>
      <c r="F71" s="47"/>
      <c r="G71" s="47"/>
      <c r="H71" s="47"/>
      <c r="I71" s="47"/>
      <c r="J71" s="47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4"/>
    </row>
    <row r="72" spans="2:23" x14ac:dyDescent="0.25">
      <c r="B72" s="65"/>
      <c r="C72" s="47"/>
      <c r="D72" s="47"/>
      <c r="E72" s="47"/>
      <c r="F72" s="47"/>
      <c r="G72" s="47"/>
      <c r="H72" s="47"/>
      <c r="I72" s="47"/>
      <c r="J72" s="47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4"/>
    </row>
    <row r="73" spans="2:23" x14ac:dyDescent="0.25">
      <c r="B73" s="65"/>
      <c r="C73" s="47"/>
      <c r="D73" s="47"/>
      <c r="E73" s="47"/>
      <c r="F73" s="47"/>
      <c r="G73" s="47"/>
      <c r="H73" s="47"/>
      <c r="I73" s="47"/>
      <c r="J73" s="47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4"/>
    </row>
    <row r="74" spans="2:23" x14ac:dyDescent="0.25">
      <c r="B74" s="65"/>
      <c r="C74" s="47"/>
      <c r="D74" s="47"/>
      <c r="E74" s="47"/>
      <c r="F74" s="47"/>
      <c r="G74" s="47"/>
      <c r="H74" s="47"/>
      <c r="I74" s="47"/>
      <c r="J74" s="47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4"/>
    </row>
    <row r="75" spans="2:23" x14ac:dyDescent="0.25">
      <c r="B75" s="65"/>
      <c r="C75" s="47"/>
      <c r="D75" s="47"/>
      <c r="E75" s="47"/>
      <c r="F75" s="47"/>
      <c r="G75" s="47"/>
      <c r="H75" s="47"/>
      <c r="I75" s="47"/>
      <c r="J75" s="47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4"/>
    </row>
    <row r="76" spans="2:23" x14ac:dyDescent="0.25">
      <c r="B76" s="65"/>
      <c r="C76" s="47"/>
      <c r="D76" s="47"/>
      <c r="E76" s="47"/>
      <c r="F76" s="47"/>
      <c r="G76" s="47"/>
      <c r="H76" s="47"/>
      <c r="I76" s="47"/>
      <c r="J76" s="47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4"/>
    </row>
    <row r="77" spans="2:23" x14ac:dyDescent="0.25">
      <c r="B77" s="65"/>
      <c r="C77" s="47"/>
      <c r="D77" s="47"/>
      <c r="E77" s="47"/>
      <c r="F77" s="47"/>
      <c r="G77" s="47"/>
      <c r="H77" s="47"/>
      <c r="I77" s="47"/>
      <c r="J77" s="47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4"/>
    </row>
    <row r="78" spans="2:23" x14ac:dyDescent="0.25">
      <c r="B78" s="65"/>
      <c r="C78" s="47"/>
      <c r="D78" s="47"/>
      <c r="E78" s="47"/>
      <c r="F78" s="47"/>
      <c r="G78" s="47"/>
      <c r="H78" s="47"/>
      <c r="I78" s="47"/>
      <c r="J78" s="47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4"/>
    </row>
    <row r="79" spans="2:23" ht="15.75" thickBot="1" x14ac:dyDescent="0.3">
      <c r="B79" s="66"/>
      <c r="C79" s="67"/>
      <c r="D79" s="67"/>
      <c r="E79" s="67"/>
      <c r="F79" s="67"/>
      <c r="G79" s="67"/>
      <c r="H79" s="67"/>
      <c r="I79" s="67"/>
      <c r="J79" s="67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9"/>
    </row>
    <row r="80" spans="2:23" ht="15.75" thickBot="1" x14ac:dyDescent="0.3"/>
    <row r="81" spans="2:23" x14ac:dyDescent="0.25">
      <c r="B81" s="70"/>
      <c r="C81" s="71"/>
      <c r="D81" s="71"/>
      <c r="E81" s="71"/>
      <c r="F81" s="71"/>
      <c r="G81" s="71"/>
      <c r="H81" s="71"/>
      <c r="I81" s="71"/>
      <c r="J81" s="71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1"/>
    </row>
    <row r="82" spans="2:23" x14ac:dyDescent="0.25">
      <c r="B82" s="65"/>
      <c r="C82" s="47"/>
      <c r="D82" s="47"/>
      <c r="E82" s="47"/>
      <c r="F82" s="47"/>
      <c r="G82" s="47"/>
      <c r="H82" s="47"/>
      <c r="I82" s="47"/>
      <c r="J82" s="47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4"/>
    </row>
    <row r="83" spans="2:23" x14ac:dyDescent="0.25">
      <c r="B83" s="65"/>
      <c r="C83" s="47"/>
      <c r="D83" s="47"/>
      <c r="E83" s="47"/>
      <c r="F83" s="47"/>
      <c r="G83" s="47"/>
      <c r="H83" s="47"/>
      <c r="I83" s="47"/>
      <c r="J83" s="47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4"/>
    </row>
    <row r="84" spans="2:23" x14ac:dyDescent="0.25">
      <c r="B84" s="65"/>
      <c r="C84" s="47"/>
      <c r="D84" s="47"/>
      <c r="E84" s="47"/>
      <c r="F84" s="47"/>
      <c r="G84" s="47"/>
      <c r="H84" s="47"/>
      <c r="I84" s="47"/>
      <c r="J84" s="47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4"/>
    </row>
    <row r="85" spans="2:23" x14ac:dyDescent="0.25">
      <c r="B85" s="65"/>
      <c r="C85" s="47"/>
      <c r="D85" s="47"/>
      <c r="E85" s="47"/>
      <c r="F85" s="47"/>
      <c r="G85" s="47"/>
      <c r="H85" s="47"/>
      <c r="I85" s="47"/>
      <c r="J85" s="47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4"/>
    </row>
    <row r="86" spans="2:23" x14ac:dyDescent="0.25">
      <c r="B86" s="65"/>
      <c r="C86" s="47"/>
      <c r="D86" s="47"/>
      <c r="E86" s="47"/>
      <c r="F86" s="47"/>
      <c r="G86" s="47"/>
      <c r="H86" s="47"/>
      <c r="I86" s="47"/>
      <c r="J86" s="47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4"/>
    </row>
    <row r="87" spans="2:23" x14ac:dyDescent="0.25">
      <c r="B87" s="65"/>
      <c r="C87" s="47"/>
      <c r="D87" s="47"/>
      <c r="E87" s="47"/>
      <c r="F87" s="47"/>
      <c r="G87" s="47"/>
      <c r="H87" s="47"/>
      <c r="I87" s="47"/>
      <c r="J87" s="47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4"/>
    </row>
    <row r="88" spans="2:23" x14ac:dyDescent="0.25">
      <c r="B88" s="65"/>
      <c r="C88" s="47"/>
      <c r="D88" s="47"/>
      <c r="E88" s="47"/>
      <c r="F88" s="47"/>
      <c r="G88" s="47"/>
      <c r="H88" s="47"/>
      <c r="I88" s="47"/>
      <c r="J88" s="47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4"/>
    </row>
    <row r="89" spans="2:23" x14ac:dyDescent="0.25">
      <c r="B89" s="65"/>
      <c r="C89" s="47"/>
      <c r="D89" s="47"/>
      <c r="E89" s="47"/>
      <c r="F89" s="47"/>
      <c r="G89" s="47"/>
      <c r="H89" s="47"/>
      <c r="I89" s="47"/>
      <c r="J89" s="47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4"/>
    </row>
    <row r="90" spans="2:23" x14ac:dyDescent="0.25">
      <c r="B90" s="65"/>
      <c r="C90" s="47"/>
      <c r="D90" s="47"/>
      <c r="E90" s="47"/>
      <c r="F90" s="47"/>
      <c r="G90" s="47"/>
      <c r="H90" s="47"/>
      <c r="I90" s="47"/>
      <c r="J90" s="47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4"/>
    </row>
    <row r="91" spans="2:23" x14ac:dyDescent="0.25">
      <c r="B91" s="65"/>
      <c r="C91" s="47"/>
      <c r="D91" s="47"/>
      <c r="E91" s="47"/>
      <c r="F91" s="47"/>
      <c r="G91" s="47"/>
      <c r="H91" s="47"/>
      <c r="I91" s="47"/>
      <c r="J91" s="47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4"/>
    </row>
    <row r="92" spans="2:23" x14ac:dyDescent="0.25">
      <c r="B92" s="65"/>
      <c r="C92" s="47"/>
      <c r="D92" s="47"/>
      <c r="E92" s="47"/>
      <c r="F92" s="47"/>
      <c r="G92" s="47"/>
      <c r="H92" s="47"/>
      <c r="I92" s="47"/>
      <c r="J92" s="47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/>
    </row>
    <row r="93" spans="2:23" x14ac:dyDescent="0.25">
      <c r="B93" s="65"/>
      <c r="C93" s="47"/>
      <c r="D93" s="47"/>
      <c r="E93" s="47"/>
      <c r="F93" s="47"/>
      <c r="G93" s="47"/>
      <c r="H93" s="47"/>
      <c r="I93" s="47"/>
      <c r="J93" s="47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4"/>
    </row>
    <row r="94" spans="2:23" x14ac:dyDescent="0.25">
      <c r="B94" s="65"/>
      <c r="C94" s="47"/>
      <c r="D94" s="47"/>
      <c r="E94" s="47"/>
      <c r="F94" s="47"/>
      <c r="G94" s="47"/>
      <c r="H94" s="47"/>
      <c r="I94" s="47"/>
      <c r="J94" s="47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4"/>
    </row>
    <row r="95" spans="2:23" x14ac:dyDescent="0.25">
      <c r="B95" s="65"/>
      <c r="C95" s="47"/>
      <c r="D95" s="47"/>
      <c r="E95" s="47"/>
      <c r="F95" s="47"/>
      <c r="G95" s="47"/>
      <c r="H95" s="47"/>
      <c r="I95" s="47"/>
      <c r="J95" s="47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4"/>
    </row>
    <row r="96" spans="2:23" x14ac:dyDescent="0.25">
      <c r="B96" s="65"/>
      <c r="C96" s="47"/>
      <c r="D96" s="47"/>
      <c r="E96" s="47"/>
      <c r="F96" s="47"/>
      <c r="G96" s="47"/>
      <c r="H96" s="47"/>
      <c r="I96" s="47"/>
      <c r="J96" s="47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4"/>
    </row>
    <row r="97" spans="2:23" x14ac:dyDescent="0.25">
      <c r="B97" s="65"/>
      <c r="C97" s="47"/>
      <c r="D97" s="47"/>
      <c r="E97" s="47"/>
      <c r="F97" s="47"/>
      <c r="G97" s="47"/>
      <c r="H97" s="47"/>
      <c r="I97" s="47"/>
      <c r="J97" s="47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4"/>
    </row>
    <row r="98" spans="2:23" x14ac:dyDescent="0.25">
      <c r="B98" s="65"/>
      <c r="C98" s="47"/>
      <c r="D98" s="47"/>
      <c r="E98" s="47"/>
      <c r="F98" s="47"/>
      <c r="G98" s="47"/>
      <c r="H98" s="47"/>
      <c r="I98" s="47"/>
      <c r="J98" s="47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4"/>
    </row>
    <row r="99" spans="2:23" x14ac:dyDescent="0.25">
      <c r="B99" s="65"/>
      <c r="C99" s="47"/>
      <c r="D99" s="47"/>
      <c r="E99" s="47"/>
      <c r="F99" s="47"/>
      <c r="G99" s="47"/>
      <c r="H99" s="47"/>
      <c r="I99" s="47"/>
      <c r="J99" s="47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4"/>
    </row>
    <row r="100" spans="2:23" x14ac:dyDescent="0.25">
      <c r="B100" s="65"/>
      <c r="C100" s="47"/>
      <c r="D100" s="47"/>
      <c r="E100" s="47"/>
      <c r="F100" s="47"/>
      <c r="G100" s="47"/>
      <c r="H100" s="47"/>
      <c r="I100" s="47"/>
      <c r="J100" s="47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4"/>
    </row>
    <row r="101" spans="2:23" x14ac:dyDescent="0.25">
      <c r="B101" s="65"/>
      <c r="C101" s="47"/>
      <c r="D101" s="47"/>
      <c r="E101" s="47"/>
      <c r="F101" s="47"/>
      <c r="G101" s="47"/>
      <c r="H101" s="47"/>
      <c r="I101" s="47"/>
      <c r="J101" s="47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4"/>
    </row>
    <row r="102" spans="2:23" x14ac:dyDescent="0.25">
      <c r="B102" s="65"/>
      <c r="C102" s="47"/>
      <c r="D102" s="47"/>
      <c r="E102" s="47"/>
      <c r="F102" s="47"/>
      <c r="G102" s="47"/>
      <c r="H102" s="47"/>
      <c r="I102" s="47"/>
      <c r="J102" s="47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4"/>
    </row>
    <row r="103" spans="2:23" x14ac:dyDescent="0.25">
      <c r="B103" s="65"/>
      <c r="C103" s="47"/>
      <c r="D103" s="47"/>
      <c r="E103" s="47"/>
      <c r="F103" s="47"/>
      <c r="G103" s="47"/>
      <c r="H103" s="47"/>
      <c r="I103" s="47"/>
      <c r="J103" s="47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4"/>
    </row>
    <row r="104" spans="2:23" x14ac:dyDescent="0.25">
      <c r="B104" s="65"/>
      <c r="C104" s="47"/>
      <c r="D104" s="47"/>
      <c r="E104" s="47"/>
      <c r="F104" s="47"/>
      <c r="G104" s="47"/>
      <c r="H104" s="47"/>
      <c r="I104" s="47"/>
      <c r="J104" s="47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4"/>
    </row>
    <row r="105" spans="2:23" x14ac:dyDescent="0.25">
      <c r="B105" s="65"/>
      <c r="C105" s="47"/>
      <c r="D105" s="47"/>
      <c r="E105" s="47"/>
      <c r="F105" s="47"/>
      <c r="G105" s="47"/>
      <c r="H105" s="47"/>
      <c r="I105" s="47"/>
      <c r="J105" s="47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4"/>
    </row>
    <row r="106" spans="2:23" x14ac:dyDescent="0.25">
      <c r="B106" s="65"/>
      <c r="C106" s="47"/>
      <c r="D106" s="47"/>
      <c r="E106" s="47"/>
      <c r="F106" s="47"/>
      <c r="G106" s="47"/>
      <c r="H106" s="47"/>
      <c r="I106" s="47"/>
      <c r="J106" s="47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4"/>
    </row>
    <row r="107" spans="2:23" x14ac:dyDescent="0.25">
      <c r="B107" s="65"/>
      <c r="C107" s="47"/>
      <c r="D107" s="47"/>
      <c r="E107" s="47"/>
      <c r="F107" s="47"/>
      <c r="G107" s="47"/>
      <c r="H107" s="47"/>
      <c r="I107" s="47"/>
      <c r="J107" s="47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4"/>
    </row>
    <row r="108" spans="2:23" x14ac:dyDescent="0.25">
      <c r="B108" s="65"/>
      <c r="C108" s="47"/>
      <c r="D108" s="47"/>
      <c r="E108" s="47"/>
      <c r="F108" s="47"/>
      <c r="G108" s="47"/>
      <c r="H108" s="47"/>
      <c r="I108" s="47"/>
      <c r="J108" s="47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4"/>
    </row>
    <row r="109" spans="2:23" x14ac:dyDescent="0.25">
      <c r="B109" s="65"/>
      <c r="C109" s="47"/>
      <c r="D109" s="47"/>
      <c r="E109" s="47"/>
      <c r="F109" s="47"/>
      <c r="G109" s="47"/>
      <c r="H109" s="47"/>
      <c r="I109" s="47"/>
      <c r="J109" s="47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4"/>
    </row>
    <row r="110" spans="2:23" x14ac:dyDescent="0.25">
      <c r="B110" s="65"/>
      <c r="C110" s="47"/>
      <c r="D110" s="47"/>
      <c r="E110" s="47"/>
      <c r="F110" s="47"/>
      <c r="G110" s="47"/>
      <c r="H110" s="47"/>
      <c r="I110" s="47"/>
      <c r="J110" s="47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4"/>
    </row>
    <row r="111" spans="2:23" ht="15.75" thickBot="1" x14ac:dyDescent="0.3">
      <c r="B111" s="66"/>
      <c r="C111" s="67"/>
      <c r="D111" s="67"/>
      <c r="E111" s="67"/>
      <c r="F111" s="67"/>
      <c r="G111" s="67"/>
      <c r="H111" s="67"/>
      <c r="I111" s="67"/>
      <c r="J111" s="67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9"/>
    </row>
    <row r="112" spans="2:23" ht="15.75" thickBot="1" x14ac:dyDescent="0.3"/>
    <row r="113" spans="2:23" x14ac:dyDescent="0.25">
      <c r="B113" s="70"/>
      <c r="C113" s="71"/>
      <c r="D113" s="71"/>
      <c r="E113" s="71"/>
      <c r="F113" s="71"/>
      <c r="G113" s="71"/>
      <c r="H113" s="71"/>
      <c r="I113" s="71"/>
      <c r="J113" s="71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1"/>
    </row>
    <row r="114" spans="2:23" x14ac:dyDescent="0.25">
      <c r="B114" s="65"/>
      <c r="C114" s="47"/>
      <c r="D114" s="47"/>
      <c r="E114" s="47"/>
      <c r="F114" s="47"/>
      <c r="G114" s="47"/>
      <c r="H114" s="47"/>
      <c r="I114" s="47"/>
      <c r="J114" s="47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4"/>
    </row>
    <row r="115" spans="2:23" x14ac:dyDescent="0.25">
      <c r="B115" s="65"/>
      <c r="C115" s="47"/>
      <c r="D115" s="47"/>
      <c r="E115" s="47"/>
      <c r="F115" s="47"/>
      <c r="G115" s="47"/>
      <c r="H115" s="47"/>
      <c r="I115" s="47"/>
      <c r="J115" s="47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4"/>
    </row>
    <row r="116" spans="2:23" x14ac:dyDescent="0.25">
      <c r="B116" s="65"/>
      <c r="C116" s="47"/>
      <c r="D116" s="47"/>
      <c r="E116" s="47"/>
      <c r="F116" s="47"/>
      <c r="G116" s="47"/>
      <c r="H116" s="47"/>
      <c r="I116" s="47"/>
      <c r="J116" s="47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4"/>
    </row>
    <row r="117" spans="2:23" x14ac:dyDescent="0.25">
      <c r="B117" s="65"/>
      <c r="C117" s="47"/>
      <c r="D117" s="47"/>
      <c r="E117" s="47"/>
      <c r="F117" s="47"/>
      <c r="G117" s="47"/>
      <c r="H117" s="47"/>
      <c r="I117" s="47"/>
      <c r="J117" s="47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4"/>
    </row>
    <row r="118" spans="2:23" x14ac:dyDescent="0.25">
      <c r="B118" s="65"/>
      <c r="C118" s="47"/>
      <c r="D118" s="47"/>
      <c r="E118" s="47"/>
      <c r="F118" s="47"/>
      <c r="G118" s="47"/>
      <c r="H118" s="47"/>
      <c r="I118" s="47"/>
      <c r="J118" s="47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4"/>
    </row>
    <row r="119" spans="2:23" x14ac:dyDescent="0.25">
      <c r="B119" s="65"/>
      <c r="C119" s="47"/>
      <c r="D119" s="47"/>
      <c r="E119" s="47"/>
      <c r="F119" s="47"/>
      <c r="G119" s="47"/>
      <c r="H119" s="47"/>
      <c r="I119" s="47"/>
      <c r="J119" s="47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4"/>
    </row>
    <row r="120" spans="2:23" x14ac:dyDescent="0.25">
      <c r="B120" s="65"/>
      <c r="C120" s="47"/>
      <c r="D120" s="47"/>
      <c r="E120" s="47"/>
      <c r="F120" s="47"/>
      <c r="G120" s="47"/>
      <c r="H120" s="47"/>
      <c r="I120" s="47"/>
      <c r="J120" s="47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4"/>
    </row>
    <row r="121" spans="2:23" x14ac:dyDescent="0.25">
      <c r="B121" s="65"/>
      <c r="C121" s="47"/>
      <c r="D121" s="47"/>
      <c r="E121" s="47"/>
      <c r="F121" s="47"/>
      <c r="G121" s="47"/>
      <c r="H121" s="47"/>
      <c r="I121" s="47"/>
      <c r="J121" s="47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4"/>
    </row>
    <row r="122" spans="2:23" x14ac:dyDescent="0.25">
      <c r="B122" s="65"/>
      <c r="C122" s="47"/>
      <c r="D122" s="47"/>
      <c r="E122" s="47"/>
      <c r="F122" s="47"/>
      <c r="G122" s="47"/>
      <c r="H122" s="47"/>
      <c r="I122" s="47"/>
      <c r="J122" s="47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4"/>
    </row>
    <row r="123" spans="2:23" x14ac:dyDescent="0.25">
      <c r="B123" s="65"/>
      <c r="C123" s="47"/>
      <c r="D123" s="47"/>
      <c r="E123" s="47"/>
      <c r="F123" s="47"/>
      <c r="G123" s="47"/>
      <c r="H123" s="47"/>
      <c r="I123" s="47"/>
      <c r="J123" s="47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4"/>
    </row>
    <row r="124" spans="2:23" x14ac:dyDescent="0.25">
      <c r="B124" s="65"/>
      <c r="C124" s="47"/>
      <c r="D124" s="47"/>
      <c r="E124" s="47"/>
      <c r="F124" s="47"/>
      <c r="G124" s="47"/>
      <c r="H124" s="47"/>
      <c r="I124" s="47"/>
      <c r="J124" s="47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4"/>
    </row>
    <row r="125" spans="2:23" x14ac:dyDescent="0.25">
      <c r="B125" s="65"/>
      <c r="C125" s="47"/>
      <c r="D125" s="47"/>
      <c r="E125" s="47"/>
      <c r="F125" s="47"/>
      <c r="G125" s="47"/>
      <c r="H125" s="47"/>
      <c r="I125" s="47"/>
      <c r="J125" s="47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4"/>
    </row>
    <row r="126" spans="2:23" x14ac:dyDescent="0.25">
      <c r="B126" s="65"/>
      <c r="C126" s="47"/>
      <c r="D126" s="47"/>
      <c r="E126" s="47"/>
      <c r="F126" s="47"/>
      <c r="G126" s="47"/>
      <c r="H126" s="47"/>
      <c r="I126" s="47"/>
      <c r="J126" s="47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4"/>
    </row>
    <row r="127" spans="2:23" x14ac:dyDescent="0.25">
      <c r="B127" s="65"/>
      <c r="C127" s="47"/>
      <c r="D127" s="47"/>
      <c r="E127" s="47"/>
      <c r="F127" s="47"/>
      <c r="G127" s="47"/>
      <c r="H127" s="47"/>
      <c r="I127" s="47"/>
      <c r="J127" s="47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4"/>
    </row>
    <row r="128" spans="2:23" x14ac:dyDescent="0.25">
      <c r="B128" s="65"/>
      <c r="C128" s="47"/>
      <c r="D128" s="47"/>
      <c r="E128" s="47"/>
      <c r="F128" s="47"/>
      <c r="G128" s="47"/>
      <c r="H128" s="47"/>
      <c r="I128" s="47"/>
      <c r="J128" s="47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4"/>
    </row>
    <row r="129" spans="2:23" x14ac:dyDescent="0.25">
      <c r="B129" s="65"/>
      <c r="C129" s="47"/>
      <c r="D129" s="47"/>
      <c r="E129" s="47"/>
      <c r="F129" s="47"/>
      <c r="G129" s="47"/>
      <c r="H129" s="47"/>
      <c r="I129" s="47"/>
      <c r="J129" s="47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4"/>
    </row>
    <row r="130" spans="2:23" x14ac:dyDescent="0.25">
      <c r="B130" s="65"/>
      <c r="C130" s="47"/>
      <c r="D130" s="47"/>
      <c r="E130" s="47"/>
      <c r="F130" s="47"/>
      <c r="G130" s="47"/>
      <c r="H130" s="47"/>
      <c r="I130" s="47"/>
      <c r="J130" s="47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4"/>
    </row>
    <row r="131" spans="2:23" x14ac:dyDescent="0.25">
      <c r="B131" s="65"/>
      <c r="C131" s="47"/>
      <c r="D131" s="47"/>
      <c r="E131" s="47"/>
      <c r="F131" s="47"/>
      <c r="G131" s="47"/>
      <c r="H131" s="47"/>
      <c r="I131" s="47"/>
      <c r="J131" s="47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4"/>
    </row>
    <row r="132" spans="2:23" x14ac:dyDescent="0.25">
      <c r="B132" s="65"/>
      <c r="C132" s="47"/>
      <c r="D132" s="47"/>
      <c r="E132" s="47"/>
      <c r="F132" s="47"/>
      <c r="G132" s="47"/>
      <c r="H132" s="47"/>
      <c r="I132" s="47"/>
      <c r="J132" s="47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4"/>
    </row>
    <row r="133" spans="2:23" x14ac:dyDescent="0.25">
      <c r="B133" s="65"/>
      <c r="C133" s="47"/>
      <c r="D133" s="47"/>
      <c r="E133" s="47"/>
      <c r="F133" s="47"/>
      <c r="G133" s="47"/>
      <c r="H133" s="47"/>
      <c r="I133" s="47"/>
      <c r="J133" s="47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4"/>
    </row>
    <row r="134" spans="2:23" x14ac:dyDescent="0.25">
      <c r="B134" s="65"/>
      <c r="C134" s="47"/>
      <c r="D134" s="47"/>
      <c r="E134" s="47"/>
      <c r="F134" s="47"/>
      <c r="G134" s="47"/>
      <c r="H134" s="47"/>
      <c r="I134" s="47"/>
      <c r="J134" s="47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4"/>
    </row>
    <row r="135" spans="2:23" x14ac:dyDescent="0.25">
      <c r="B135" s="65"/>
      <c r="C135" s="47"/>
      <c r="D135" s="47"/>
      <c r="E135" s="47"/>
      <c r="F135" s="47"/>
      <c r="G135" s="47"/>
      <c r="H135" s="47"/>
      <c r="I135" s="47"/>
      <c r="J135" s="47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4"/>
    </row>
    <row r="136" spans="2:23" x14ac:dyDescent="0.25">
      <c r="B136" s="65"/>
      <c r="C136" s="47"/>
      <c r="D136" s="47"/>
      <c r="E136" s="47"/>
      <c r="F136" s="47"/>
      <c r="G136" s="47"/>
      <c r="H136" s="47"/>
      <c r="I136" s="47"/>
      <c r="J136" s="47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4"/>
    </row>
    <row r="137" spans="2:23" x14ac:dyDescent="0.25">
      <c r="B137" s="65"/>
      <c r="C137" s="47"/>
      <c r="D137" s="47"/>
      <c r="E137" s="47"/>
      <c r="F137" s="47"/>
      <c r="G137" s="47"/>
      <c r="H137" s="47"/>
      <c r="I137" s="47"/>
      <c r="J137" s="47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/>
    </row>
    <row r="138" spans="2:23" x14ac:dyDescent="0.25">
      <c r="B138" s="65"/>
      <c r="C138" s="47"/>
      <c r="D138" s="47"/>
      <c r="E138" s="47"/>
      <c r="F138" s="47"/>
      <c r="G138" s="47"/>
      <c r="H138" s="47"/>
      <c r="I138" s="47"/>
      <c r="J138" s="47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4"/>
    </row>
    <row r="139" spans="2:23" x14ac:dyDescent="0.25">
      <c r="B139" s="65"/>
      <c r="C139" s="47"/>
      <c r="D139" s="47"/>
      <c r="E139" s="47"/>
      <c r="F139" s="47"/>
      <c r="G139" s="47"/>
      <c r="H139" s="47"/>
      <c r="I139" s="47"/>
      <c r="J139" s="47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4"/>
    </row>
    <row r="140" spans="2:23" x14ac:dyDescent="0.25">
      <c r="B140" s="65"/>
      <c r="C140" s="47"/>
      <c r="D140" s="47"/>
      <c r="E140" s="47"/>
      <c r="F140" s="47"/>
      <c r="G140" s="47"/>
      <c r="H140" s="47"/>
      <c r="I140" s="47"/>
      <c r="J140" s="47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4"/>
    </row>
    <row r="141" spans="2:23" x14ac:dyDescent="0.25">
      <c r="B141" s="65"/>
      <c r="C141" s="47"/>
      <c r="D141" s="47"/>
      <c r="E141" s="47"/>
      <c r="F141" s="47"/>
      <c r="G141" s="47"/>
      <c r="H141" s="47"/>
      <c r="I141" s="47"/>
      <c r="J141" s="47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4"/>
    </row>
    <row r="142" spans="2:23" x14ac:dyDescent="0.25">
      <c r="B142" s="65"/>
      <c r="C142" s="47"/>
      <c r="D142" s="47"/>
      <c r="E142" s="47"/>
      <c r="F142" s="47"/>
      <c r="G142" s="47"/>
      <c r="H142" s="47"/>
      <c r="I142" s="47"/>
      <c r="J142" s="47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4"/>
    </row>
    <row r="143" spans="2:23" ht="15.75" thickBot="1" x14ac:dyDescent="0.3">
      <c r="B143" s="66"/>
      <c r="C143" s="67"/>
      <c r="D143" s="67"/>
      <c r="E143" s="67"/>
      <c r="F143" s="67"/>
      <c r="G143" s="67"/>
      <c r="H143" s="67"/>
      <c r="I143" s="67"/>
      <c r="J143" s="67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9"/>
    </row>
    <row r="144" spans="2:23" ht="15.75" thickBot="1" x14ac:dyDescent="0.3"/>
    <row r="145" spans="2:23" x14ac:dyDescent="0.25">
      <c r="B145" s="70"/>
      <c r="C145" s="71"/>
      <c r="D145" s="71"/>
      <c r="E145" s="71"/>
      <c r="F145" s="71"/>
      <c r="G145" s="71"/>
      <c r="H145" s="71"/>
      <c r="I145" s="71"/>
      <c r="J145" s="71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1"/>
    </row>
    <row r="146" spans="2:23" x14ac:dyDescent="0.25">
      <c r="B146" s="65"/>
      <c r="C146" s="47"/>
      <c r="D146" s="47"/>
      <c r="E146" s="47"/>
      <c r="F146" s="47"/>
      <c r="G146" s="47"/>
      <c r="H146" s="47"/>
      <c r="I146" s="47"/>
      <c r="J146" s="47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4"/>
    </row>
    <row r="147" spans="2:23" x14ac:dyDescent="0.25">
      <c r="B147" s="65"/>
      <c r="C147" s="47"/>
      <c r="D147" s="47"/>
      <c r="E147" s="47"/>
      <c r="F147" s="47"/>
      <c r="G147" s="47"/>
      <c r="H147" s="47"/>
      <c r="I147" s="47"/>
      <c r="J147" s="47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4"/>
    </row>
    <row r="148" spans="2:23" x14ac:dyDescent="0.25">
      <c r="B148" s="65"/>
      <c r="C148" s="47"/>
      <c r="D148" s="47"/>
      <c r="E148" s="47"/>
      <c r="F148" s="47"/>
      <c r="G148" s="47"/>
      <c r="H148" s="47"/>
      <c r="I148" s="47"/>
      <c r="J148" s="47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4"/>
    </row>
    <row r="149" spans="2:23" x14ac:dyDescent="0.25">
      <c r="B149" s="65"/>
      <c r="C149" s="47"/>
      <c r="D149" s="47"/>
      <c r="E149" s="47"/>
      <c r="F149" s="47"/>
      <c r="G149" s="47"/>
      <c r="H149" s="47"/>
      <c r="I149" s="47"/>
      <c r="J149" s="47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4"/>
    </row>
    <row r="150" spans="2:23" x14ac:dyDescent="0.25">
      <c r="B150" s="65"/>
      <c r="C150" s="47"/>
      <c r="D150" s="47"/>
      <c r="E150" s="47"/>
      <c r="F150" s="47"/>
      <c r="G150" s="47"/>
      <c r="H150" s="47"/>
      <c r="I150" s="47"/>
      <c r="J150" s="47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4"/>
    </row>
    <row r="151" spans="2:23" x14ac:dyDescent="0.25">
      <c r="B151" s="65"/>
      <c r="C151" s="47"/>
      <c r="D151" s="47"/>
      <c r="E151" s="47"/>
      <c r="F151" s="47"/>
      <c r="G151" s="47"/>
      <c r="H151" s="47"/>
      <c r="I151" s="47"/>
      <c r="J151" s="47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4"/>
    </row>
    <row r="152" spans="2:23" x14ac:dyDescent="0.25">
      <c r="B152" s="65"/>
      <c r="C152" s="47"/>
      <c r="D152" s="47"/>
      <c r="E152" s="47"/>
      <c r="F152" s="47"/>
      <c r="G152" s="47"/>
      <c r="H152" s="47"/>
      <c r="I152" s="47"/>
      <c r="J152" s="47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4"/>
    </row>
    <row r="153" spans="2:23" x14ac:dyDescent="0.25">
      <c r="B153" s="65"/>
      <c r="C153" s="47"/>
      <c r="D153" s="47"/>
      <c r="E153" s="47"/>
      <c r="F153" s="47"/>
      <c r="G153" s="47"/>
      <c r="H153" s="47"/>
      <c r="I153" s="47"/>
      <c r="J153" s="47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4"/>
    </row>
    <row r="154" spans="2:23" x14ac:dyDescent="0.25">
      <c r="B154" s="65"/>
      <c r="C154" s="47"/>
      <c r="D154" s="47"/>
      <c r="E154" s="47"/>
      <c r="F154" s="47"/>
      <c r="G154" s="47"/>
      <c r="H154" s="47"/>
      <c r="I154" s="47"/>
      <c r="J154" s="47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4"/>
    </row>
    <row r="155" spans="2:23" x14ac:dyDescent="0.25">
      <c r="B155" s="65"/>
      <c r="C155" s="47"/>
      <c r="D155" s="47"/>
      <c r="E155" s="47"/>
      <c r="F155" s="47"/>
      <c r="G155" s="47"/>
      <c r="H155" s="47"/>
      <c r="I155" s="47"/>
      <c r="J155" s="47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4"/>
    </row>
    <row r="156" spans="2:23" x14ac:dyDescent="0.25">
      <c r="B156" s="65"/>
      <c r="C156" s="47"/>
      <c r="D156" s="47"/>
      <c r="E156" s="47"/>
      <c r="F156" s="47"/>
      <c r="G156" s="47"/>
      <c r="H156" s="47"/>
      <c r="I156" s="47"/>
      <c r="J156" s="47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4"/>
    </row>
    <row r="157" spans="2:23" x14ac:dyDescent="0.25">
      <c r="B157" s="65"/>
      <c r="C157" s="47"/>
      <c r="D157" s="47"/>
      <c r="E157" s="47"/>
      <c r="F157" s="47"/>
      <c r="G157" s="47"/>
      <c r="H157" s="47"/>
      <c r="I157" s="47"/>
      <c r="J157" s="47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4"/>
    </row>
    <row r="158" spans="2:23" x14ac:dyDescent="0.25">
      <c r="B158" s="65"/>
      <c r="C158" s="47"/>
      <c r="D158" s="47"/>
      <c r="E158" s="47"/>
      <c r="F158" s="47"/>
      <c r="G158" s="47"/>
      <c r="H158" s="47"/>
      <c r="I158" s="47"/>
      <c r="J158" s="47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4"/>
    </row>
    <row r="159" spans="2:23" x14ac:dyDescent="0.25">
      <c r="B159" s="65"/>
      <c r="C159" s="47"/>
      <c r="D159" s="47"/>
      <c r="E159" s="47"/>
      <c r="F159" s="47"/>
      <c r="G159" s="47"/>
      <c r="H159" s="47"/>
      <c r="I159" s="47"/>
      <c r="J159" s="47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4"/>
    </row>
    <row r="160" spans="2:23" x14ac:dyDescent="0.25">
      <c r="B160" s="65"/>
      <c r="C160" s="47"/>
      <c r="D160" s="47"/>
      <c r="E160" s="47"/>
      <c r="F160" s="47"/>
      <c r="G160" s="47"/>
      <c r="H160" s="47"/>
      <c r="I160" s="47"/>
      <c r="J160" s="47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4"/>
    </row>
    <row r="161" spans="2:23" x14ac:dyDescent="0.25">
      <c r="B161" s="65"/>
      <c r="C161" s="47"/>
      <c r="D161" s="47"/>
      <c r="E161" s="47"/>
      <c r="F161" s="47"/>
      <c r="G161" s="47"/>
      <c r="H161" s="47"/>
      <c r="I161" s="47"/>
      <c r="J161" s="47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4"/>
    </row>
    <row r="162" spans="2:23" x14ac:dyDescent="0.25">
      <c r="B162" s="65"/>
      <c r="C162" s="47"/>
      <c r="D162" s="47"/>
      <c r="E162" s="47"/>
      <c r="F162" s="47"/>
      <c r="G162" s="47"/>
      <c r="H162" s="47"/>
      <c r="I162" s="47"/>
      <c r="J162" s="47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4"/>
    </row>
    <row r="163" spans="2:23" x14ac:dyDescent="0.25">
      <c r="B163" s="65"/>
      <c r="C163" s="47"/>
      <c r="D163" s="47"/>
      <c r="E163" s="47"/>
      <c r="F163" s="47"/>
      <c r="G163" s="47"/>
      <c r="H163" s="47"/>
      <c r="I163" s="47"/>
      <c r="J163" s="47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4"/>
    </row>
    <row r="164" spans="2:23" x14ac:dyDescent="0.25">
      <c r="B164" s="65"/>
      <c r="C164" s="47"/>
      <c r="D164" s="47"/>
      <c r="E164" s="47"/>
      <c r="F164" s="47"/>
      <c r="G164" s="47"/>
      <c r="H164" s="47"/>
      <c r="I164" s="47"/>
      <c r="J164" s="47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4"/>
    </row>
    <row r="165" spans="2:23" x14ac:dyDescent="0.25">
      <c r="B165" s="65"/>
      <c r="C165" s="47"/>
      <c r="D165" s="47"/>
      <c r="E165" s="47"/>
      <c r="F165" s="47"/>
      <c r="G165" s="47"/>
      <c r="H165" s="47"/>
      <c r="I165" s="47"/>
      <c r="J165" s="47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4"/>
    </row>
    <row r="166" spans="2:23" x14ac:dyDescent="0.25">
      <c r="B166" s="65"/>
      <c r="C166" s="47"/>
      <c r="D166" s="47"/>
      <c r="E166" s="47"/>
      <c r="F166" s="47"/>
      <c r="G166" s="47"/>
      <c r="H166" s="47"/>
      <c r="I166" s="47"/>
      <c r="J166" s="47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4"/>
    </row>
    <row r="167" spans="2:23" x14ac:dyDescent="0.25">
      <c r="B167" s="65"/>
      <c r="C167" s="47"/>
      <c r="D167" s="47"/>
      <c r="E167" s="47"/>
      <c r="F167" s="47"/>
      <c r="G167" s="47"/>
      <c r="H167" s="47"/>
      <c r="I167" s="47"/>
      <c r="J167" s="47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4"/>
    </row>
    <row r="168" spans="2:23" x14ac:dyDescent="0.25">
      <c r="B168" s="65"/>
      <c r="C168" s="47"/>
      <c r="D168" s="47"/>
      <c r="E168" s="47"/>
      <c r="F168" s="47"/>
      <c r="G168" s="47"/>
      <c r="H168" s="47"/>
      <c r="I168" s="47"/>
      <c r="J168" s="47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4"/>
    </row>
    <row r="169" spans="2:23" x14ac:dyDescent="0.25">
      <c r="B169" s="65"/>
      <c r="C169" s="47"/>
      <c r="D169" s="47"/>
      <c r="E169" s="47"/>
      <c r="F169" s="47"/>
      <c r="G169" s="47"/>
      <c r="H169" s="47"/>
      <c r="I169" s="47"/>
      <c r="J169" s="47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4"/>
    </row>
    <row r="170" spans="2:23" x14ac:dyDescent="0.25">
      <c r="B170" s="65"/>
      <c r="C170" s="47"/>
      <c r="D170" s="47"/>
      <c r="E170" s="47"/>
      <c r="F170" s="47"/>
      <c r="G170" s="47"/>
      <c r="H170" s="47"/>
      <c r="I170" s="47"/>
      <c r="J170" s="47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4"/>
    </row>
    <row r="171" spans="2:23" x14ac:dyDescent="0.25">
      <c r="B171" s="65"/>
      <c r="C171" s="47"/>
      <c r="D171" s="47"/>
      <c r="E171" s="47"/>
      <c r="F171" s="47"/>
      <c r="G171" s="47"/>
      <c r="H171" s="47"/>
      <c r="I171" s="47"/>
      <c r="J171" s="47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4"/>
    </row>
    <row r="172" spans="2:23" x14ac:dyDescent="0.25">
      <c r="B172" s="65"/>
      <c r="C172" s="47"/>
      <c r="D172" s="47"/>
      <c r="E172" s="47"/>
      <c r="F172" s="47"/>
      <c r="G172" s="47"/>
      <c r="H172" s="47"/>
      <c r="I172" s="47"/>
      <c r="J172" s="47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4"/>
    </row>
    <row r="173" spans="2:23" x14ac:dyDescent="0.25">
      <c r="B173" s="65"/>
      <c r="C173" s="47"/>
      <c r="D173" s="47"/>
      <c r="E173" s="47"/>
      <c r="F173" s="47"/>
      <c r="G173" s="47"/>
      <c r="H173" s="47"/>
      <c r="I173" s="47"/>
      <c r="J173" s="47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4"/>
    </row>
    <row r="174" spans="2:23" x14ac:dyDescent="0.25">
      <c r="B174" s="65"/>
      <c r="C174" s="47"/>
      <c r="D174" s="47"/>
      <c r="E174" s="47"/>
      <c r="F174" s="47"/>
      <c r="G174" s="47"/>
      <c r="H174" s="47"/>
      <c r="I174" s="47"/>
      <c r="J174" s="47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4"/>
    </row>
    <row r="175" spans="2:23" ht="15.75" thickBot="1" x14ac:dyDescent="0.3">
      <c r="B175" s="66"/>
      <c r="C175" s="67"/>
      <c r="D175" s="67"/>
      <c r="E175" s="67"/>
      <c r="F175" s="67"/>
      <c r="G175" s="67"/>
      <c r="H175" s="67"/>
      <c r="I175" s="67"/>
      <c r="J175" s="67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9"/>
    </row>
    <row r="177" spans="2:24" x14ac:dyDescent="0.25">
      <c r="B177" s="46"/>
      <c r="C177" s="47"/>
      <c r="D177" s="47"/>
      <c r="E177" s="47"/>
      <c r="F177" s="47"/>
      <c r="G177" s="47"/>
      <c r="H177" s="47"/>
      <c r="I177" s="47"/>
      <c r="J177" s="47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</row>
    <row r="178" spans="2:24" x14ac:dyDescent="0.25">
      <c r="B178" s="46"/>
      <c r="C178" s="47"/>
      <c r="D178" s="47"/>
      <c r="E178" s="47"/>
      <c r="F178" s="47"/>
      <c r="G178" s="47"/>
      <c r="H178" s="47"/>
      <c r="I178" s="47"/>
      <c r="J178" s="47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</row>
    <row r="179" spans="2:24" x14ac:dyDescent="0.25">
      <c r="B179" s="46"/>
      <c r="C179" s="47"/>
      <c r="D179" s="47"/>
      <c r="E179" s="47"/>
      <c r="F179" s="47"/>
      <c r="G179" s="47"/>
      <c r="H179" s="47"/>
      <c r="I179" s="47"/>
      <c r="J179" s="47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</row>
    <row r="180" spans="2:24" x14ac:dyDescent="0.25">
      <c r="B180" s="46"/>
      <c r="C180" s="47"/>
      <c r="D180" s="47"/>
      <c r="E180" s="47"/>
      <c r="F180" s="47"/>
      <c r="G180" s="47"/>
      <c r="H180" s="47"/>
      <c r="I180" s="47"/>
      <c r="J180" s="47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</row>
    <row r="181" spans="2:24" x14ac:dyDescent="0.25">
      <c r="B181" s="46"/>
      <c r="C181" s="47"/>
      <c r="D181" s="47"/>
      <c r="E181" s="47"/>
      <c r="F181" s="47"/>
      <c r="G181" s="47"/>
      <c r="H181" s="47"/>
      <c r="I181" s="47"/>
      <c r="J181" s="47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</row>
    <row r="182" spans="2:24" x14ac:dyDescent="0.25">
      <c r="B182" s="46"/>
      <c r="C182" s="47"/>
      <c r="D182" s="47"/>
      <c r="E182" s="47"/>
      <c r="F182" s="47"/>
      <c r="G182" s="47"/>
      <c r="H182" s="47"/>
      <c r="I182" s="47"/>
      <c r="J182" s="47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</row>
    <row r="183" spans="2:24" x14ac:dyDescent="0.25">
      <c r="B183" s="46"/>
      <c r="C183" s="47"/>
      <c r="D183" s="47"/>
      <c r="E183" s="47"/>
      <c r="F183" s="47"/>
      <c r="G183" s="47"/>
      <c r="H183" s="47"/>
      <c r="I183" s="47"/>
      <c r="J183" s="47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</row>
    <row r="184" spans="2:24" x14ac:dyDescent="0.25">
      <c r="B184" s="46"/>
      <c r="C184" s="47"/>
      <c r="D184" s="47"/>
      <c r="E184" s="47"/>
      <c r="F184" s="47"/>
      <c r="G184" s="47"/>
      <c r="H184" s="47"/>
      <c r="I184" s="47"/>
      <c r="J184" s="47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</row>
    <row r="185" spans="2:24" x14ac:dyDescent="0.25">
      <c r="B185" s="46"/>
      <c r="C185" s="47"/>
      <c r="D185" s="47"/>
      <c r="E185" s="47"/>
      <c r="F185" s="47"/>
      <c r="G185" s="47"/>
      <c r="H185" s="47"/>
      <c r="I185" s="47"/>
      <c r="J185" s="47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</row>
    <row r="186" spans="2:24" x14ac:dyDescent="0.25">
      <c r="B186" s="46"/>
      <c r="C186" s="47"/>
      <c r="D186" s="47"/>
      <c r="E186" s="47"/>
      <c r="F186" s="47"/>
      <c r="G186" s="47"/>
      <c r="H186" s="47"/>
      <c r="I186" s="47"/>
      <c r="J186" s="47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</row>
    <row r="187" spans="2:24" x14ac:dyDescent="0.25">
      <c r="B187" s="46"/>
      <c r="C187" s="47"/>
      <c r="D187" s="47"/>
      <c r="E187" s="47"/>
      <c r="F187" s="47"/>
      <c r="G187" s="47"/>
      <c r="H187" s="47"/>
      <c r="I187" s="47"/>
      <c r="J187" s="47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</row>
    <row r="188" spans="2:24" x14ac:dyDescent="0.25">
      <c r="B188" s="46"/>
      <c r="C188" s="47"/>
      <c r="D188" s="47"/>
      <c r="E188" s="47"/>
      <c r="F188" s="47"/>
      <c r="G188" s="47"/>
      <c r="H188" s="47"/>
      <c r="I188" s="47"/>
      <c r="J188" s="47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 spans="2:24" x14ac:dyDescent="0.25">
      <c r="B189" s="46"/>
      <c r="C189" s="47"/>
      <c r="D189" s="47"/>
      <c r="E189" s="47"/>
      <c r="F189" s="47"/>
      <c r="G189" s="47"/>
      <c r="H189" s="47"/>
      <c r="I189" s="47"/>
      <c r="J189" s="47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 spans="2:24" x14ac:dyDescent="0.25">
      <c r="B190" s="46"/>
      <c r="C190" s="47"/>
      <c r="D190" s="47"/>
      <c r="E190" s="47"/>
      <c r="F190" s="47"/>
      <c r="G190" s="47"/>
      <c r="H190" s="47"/>
      <c r="I190" s="47"/>
      <c r="J190" s="47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 spans="2:24" x14ac:dyDescent="0.25">
      <c r="B191" s="46"/>
      <c r="C191" s="47"/>
      <c r="D191" s="47"/>
      <c r="E191" s="47"/>
      <c r="F191" s="47"/>
      <c r="G191" s="47"/>
      <c r="H191" s="47"/>
      <c r="I191" s="47"/>
      <c r="J191" s="47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 spans="2:24" x14ac:dyDescent="0.25">
      <c r="B192" s="46"/>
      <c r="C192" s="47"/>
      <c r="D192" s="47"/>
      <c r="E192" s="47"/>
      <c r="F192" s="47"/>
      <c r="G192" s="47"/>
      <c r="H192" s="47"/>
      <c r="I192" s="47"/>
      <c r="J192" s="47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 spans="2:24" x14ac:dyDescent="0.25">
      <c r="B193" s="46"/>
      <c r="C193" s="47"/>
      <c r="D193" s="47"/>
      <c r="E193" s="47"/>
      <c r="F193" s="47"/>
      <c r="G193" s="47"/>
      <c r="H193" s="47"/>
      <c r="I193" s="47"/>
      <c r="J193" s="47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 spans="2:24" x14ac:dyDescent="0.25">
      <c r="B194" s="46"/>
      <c r="C194" s="47"/>
      <c r="D194" s="47"/>
      <c r="E194" s="47"/>
      <c r="F194" s="47"/>
      <c r="G194" s="47"/>
      <c r="H194" s="47"/>
      <c r="I194" s="47"/>
      <c r="J194" s="47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 spans="2:24" x14ac:dyDescent="0.25">
      <c r="B195" s="46"/>
      <c r="C195" s="47"/>
      <c r="D195" s="47"/>
      <c r="E195" s="47"/>
      <c r="F195" s="47"/>
      <c r="G195" s="47"/>
      <c r="H195" s="47"/>
      <c r="I195" s="47"/>
      <c r="J195" s="47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 spans="2:24" x14ac:dyDescent="0.25">
      <c r="B196" s="46"/>
      <c r="C196" s="47"/>
      <c r="D196" s="47"/>
      <c r="E196" s="47"/>
      <c r="F196" s="47"/>
      <c r="G196" s="47"/>
      <c r="H196" s="47"/>
      <c r="I196" s="47"/>
      <c r="J196" s="47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 spans="2:24" x14ac:dyDescent="0.25">
      <c r="B197" s="46"/>
      <c r="C197" s="47"/>
      <c r="D197" s="47"/>
      <c r="E197" s="47"/>
      <c r="F197" s="47"/>
      <c r="G197" s="47"/>
      <c r="H197" s="47"/>
      <c r="I197" s="47"/>
      <c r="J197" s="47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 spans="2:24" x14ac:dyDescent="0.25">
      <c r="B198" s="46"/>
      <c r="C198" s="47"/>
      <c r="D198" s="47"/>
      <c r="E198" s="47"/>
      <c r="F198" s="47"/>
      <c r="G198" s="47"/>
      <c r="H198" s="47"/>
      <c r="I198" s="47"/>
      <c r="J198" s="47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 spans="2:24" x14ac:dyDescent="0.25">
      <c r="B199" s="46"/>
      <c r="C199" s="47"/>
      <c r="D199" s="47"/>
      <c r="E199" s="47"/>
      <c r="F199" s="47"/>
      <c r="G199" s="47"/>
      <c r="H199" s="47"/>
      <c r="I199" s="47"/>
      <c r="J199" s="47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 spans="2:24" x14ac:dyDescent="0.25">
      <c r="B200" s="46"/>
      <c r="C200" s="47"/>
      <c r="D200" s="47"/>
      <c r="E200" s="47"/>
      <c r="F200" s="47"/>
      <c r="G200" s="47"/>
      <c r="H200" s="47"/>
      <c r="I200" s="47"/>
      <c r="J200" s="47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 spans="2:24" x14ac:dyDescent="0.25">
      <c r="B201" s="46"/>
      <c r="C201" s="47"/>
      <c r="D201" s="47"/>
      <c r="E201" s="47"/>
      <c r="F201" s="47"/>
      <c r="G201" s="47"/>
      <c r="H201" s="47"/>
      <c r="I201" s="47"/>
      <c r="J201" s="47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 spans="2:24" x14ac:dyDescent="0.25">
      <c r="B202" s="46"/>
      <c r="C202" s="47"/>
      <c r="D202" s="47"/>
      <c r="E202" s="47"/>
      <c r="F202" s="47"/>
      <c r="G202" s="47"/>
      <c r="H202" s="47"/>
      <c r="I202" s="47"/>
      <c r="J202" s="47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 spans="2:24" x14ac:dyDescent="0.25">
      <c r="B203" s="46"/>
      <c r="C203" s="47"/>
      <c r="D203" s="47"/>
      <c r="E203" s="47"/>
      <c r="F203" s="47"/>
      <c r="G203" s="47"/>
      <c r="H203" s="47"/>
      <c r="I203" s="47"/>
      <c r="J203" s="47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 spans="2:24" x14ac:dyDescent="0.25">
      <c r="B204" s="46"/>
      <c r="C204" s="47"/>
      <c r="D204" s="47"/>
      <c r="E204" s="47"/>
      <c r="F204" s="47"/>
      <c r="G204" s="47"/>
      <c r="H204" s="47"/>
      <c r="I204" s="47"/>
      <c r="J204" s="47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 spans="2:24" x14ac:dyDescent="0.25">
      <c r="B205" s="46"/>
      <c r="C205" s="47"/>
      <c r="D205" s="47"/>
      <c r="E205" s="47"/>
      <c r="F205" s="47"/>
      <c r="G205" s="47"/>
      <c r="H205" s="47"/>
      <c r="I205" s="47"/>
      <c r="J205" s="47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 spans="2:24" x14ac:dyDescent="0.25">
      <c r="B206" s="46"/>
      <c r="C206" s="47"/>
      <c r="D206" s="47"/>
      <c r="E206" s="47"/>
      <c r="F206" s="47"/>
      <c r="G206" s="47"/>
      <c r="H206" s="47"/>
      <c r="I206" s="47"/>
      <c r="J206" s="47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 spans="2:24" x14ac:dyDescent="0.25">
      <c r="B207" s="46"/>
      <c r="C207" s="47"/>
      <c r="D207" s="47"/>
      <c r="E207" s="47"/>
      <c r="F207" s="47"/>
      <c r="G207" s="47"/>
      <c r="H207" s="47"/>
      <c r="I207" s="47"/>
      <c r="J207" s="47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 spans="2:24" x14ac:dyDescent="0.25">
      <c r="B208" s="46"/>
      <c r="C208" s="47"/>
      <c r="D208" s="47"/>
      <c r="E208" s="47"/>
      <c r="F208" s="47"/>
      <c r="G208" s="47"/>
      <c r="H208" s="47"/>
      <c r="I208" s="47"/>
      <c r="J208" s="47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 spans="2:24" x14ac:dyDescent="0.25">
      <c r="B209" s="46"/>
      <c r="C209" s="47"/>
      <c r="D209" s="47"/>
      <c r="E209" s="47"/>
      <c r="F209" s="47"/>
      <c r="G209" s="47"/>
      <c r="H209" s="47"/>
      <c r="I209" s="47"/>
      <c r="J209" s="47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 spans="2:24" x14ac:dyDescent="0.25">
      <c r="B210" s="46"/>
      <c r="C210" s="47"/>
      <c r="D210" s="47"/>
      <c r="E210" s="47"/>
      <c r="F210" s="47"/>
      <c r="G210" s="47"/>
      <c r="H210" s="47"/>
      <c r="I210" s="47"/>
      <c r="J210" s="47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 spans="2:24" x14ac:dyDescent="0.25">
      <c r="B211" s="46"/>
      <c r="C211" s="47"/>
      <c r="D211" s="47"/>
      <c r="E211" s="47"/>
      <c r="F211" s="47"/>
      <c r="G211" s="47"/>
      <c r="H211" s="47"/>
      <c r="I211" s="47"/>
      <c r="J211" s="47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 spans="2:24" x14ac:dyDescent="0.25">
      <c r="B212" s="46"/>
      <c r="C212" s="47"/>
      <c r="D212" s="47"/>
      <c r="E212" s="47"/>
      <c r="F212" s="47"/>
      <c r="G212" s="47"/>
      <c r="H212" s="47"/>
      <c r="I212" s="47"/>
      <c r="J212" s="47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 spans="2:24" x14ac:dyDescent="0.25">
      <c r="B213" s="46"/>
      <c r="C213" s="47"/>
      <c r="D213" s="47"/>
      <c r="E213" s="47"/>
      <c r="F213" s="47"/>
      <c r="G213" s="47"/>
      <c r="H213" s="47"/>
      <c r="I213" s="47"/>
      <c r="J213" s="47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 spans="2:24" x14ac:dyDescent="0.25">
      <c r="B214" s="46"/>
      <c r="C214" s="47"/>
      <c r="D214" s="47"/>
      <c r="E214" s="47"/>
      <c r="F214" s="47"/>
      <c r="G214" s="47"/>
      <c r="H214" s="47"/>
      <c r="I214" s="47"/>
      <c r="J214" s="47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 spans="2:24" x14ac:dyDescent="0.25">
      <c r="B215" s="46"/>
      <c r="C215" s="47"/>
      <c r="D215" s="47"/>
      <c r="E215" s="47"/>
      <c r="F215" s="47"/>
      <c r="G215" s="47"/>
      <c r="H215" s="47"/>
      <c r="I215" s="47"/>
      <c r="J215" s="47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 spans="2:24" x14ac:dyDescent="0.25">
      <c r="B216" s="46"/>
      <c r="C216" s="47"/>
      <c r="D216" s="47"/>
      <c r="E216" s="47"/>
      <c r="F216" s="47"/>
      <c r="G216" s="47"/>
      <c r="H216" s="47"/>
      <c r="I216" s="47"/>
      <c r="J216" s="47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 spans="2:24" x14ac:dyDescent="0.25">
      <c r="B217" s="46"/>
      <c r="C217" s="47"/>
      <c r="D217" s="47"/>
      <c r="E217" s="47"/>
      <c r="F217" s="47"/>
      <c r="G217" s="47"/>
      <c r="H217" s="47"/>
      <c r="I217" s="47"/>
      <c r="J217" s="47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</row>
    <row r="218" spans="2:24" x14ac:dyDescent="0.25">
      <c r="B218" s="46"/>
      <c r="C218" s="47"/>
      <c r="D218" s="47"/>
      <c r="E218" s="47"/>
      <c r="F218" s="47"/>
      <c r="G218" s="47"/>
      <c r="H218" s="47"/>
      <c r="I218" s="47"/>
      <c r="J218" s="47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</row>
    <row r="219" spans="2:24" x14ac:dyDescent="0.25">
      <c r="B219" s="46"/>
      <c r="C219" s="47"/>
      <c r="D219" s="47"/>
      <c r="E219" s="47"/>
      <c r="F219" s="47"/>
      <c r="G219" s="47"/>
      <c r="H219" s="47"/>
      <c r="I219" s="47"/>
      <c r="J219" s="47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</row>
    <row r="220" spans="2:24" x14ac:dyDescent="0.25">
      <c r="B220" s="46"/>
      <c r="C220" s="47"/>
      <c r="D220" s="47"/>
      <c r="E220" s="47"/>
      <c r="F220" s="47"/>
      <c r="G220" s="47"/>
      <c r="H220" s="47"/>
      <c r="I220" s="47"/>
      <c r="J220" s="47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</row>
    <row r="221" spans="2:24" x14ac:dyDescent="0.25">
      <c r="B221" s="46"/>
      <c r="C221" s="47"/>
      <c r="D221" s="47"/>
      <c r="E221" s="47"/>
      <c r="F221" s="47"/>
      <c r="G221" s="47"/>
      <c r="H221" s="47"/>
      <c r="I221" s="47"/>
      <c r="J221" s="47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</row>
    <row r="222" spans="2:24" x14ac:dyDescent="0.25">
      <c r="B222" s="46"/>
      <c r="C222" s="47"/>
      <c r="D222" s="47"/>
      <c r="E222" s="47"/>
      <c r="F222" s="47"/>
      <c r="G222" s="47"/>
      <c r="H222" s="47"/>
      <c r="I222" s="47"/>
      <c r="J222" s="47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</row>
    <row r="223" spans="2:24" x14ac:dyDescent="0.25">
      <c r="B223" s="46"/>
      <c r="C223" s="47"/>
      <c r="D223" s="47"/>
      <c r="E223" s="47"/>
      <c r="F223" s="47"/>
      <c r="G223" s="47"/>
      <c r="H223" s="47"/>
      <c r="I223" s="47"/>
      <c r="J223" s="47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</row>
    <row r="224" spans="2:24" x14ac:dyDescent="0.25">
      <c r="B224" s="46"/>
      <c r="C224" s="47"/>
      <c r="D224" s="47"/>
      <c r="E224" s="47"/>
      <c r="F224" s="47"/>
      <c r="G224" s="47"/>
      <c r="H224" s="47"/>
      <c r="I224" s="47"/>
      <c r="J224" s="47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</row>
    <row r="225" spans="2:24" x14ac:dyDescent="0.25">
      <c r="B225" s="46"/>
      <c r="C225" s="47"/>
      <c r="D225" s="47"/>
      <c r="E225" s="47"/>
      <c r="F225" s="47"/>
      <c r="G225" s="47"/>
      <c r="H225" s="47"/>
      <c r="I225" s="47"/>
      <c r="J225" s="47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</row>
    <row r="226" spans="2:24" x14ac:dyDescent="0.25">
      <c r="B226" s="46"/>
      <c r="C226" s="47"/>
      <c r="D226" s="47"/>
      <c r="E226" s="47"/>
      <c r="F226" s="47"/>
      <c r="G226" s="47"/>
      <c r="H226" s="47"/>
      <c r="I226" s="47"/>
      <c r="J226" s="47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</row>
    <row r="227" spans="2:24" x14ac:dyDescent="0.25">
      <c r="B227" s="46"/>
      <c r="C227" s="47"/>
      <c r="D227" s="47"/>
      <c r="E227" s="47"/>
      <c r="F227" s="47"/>
      <c r="G227" s="47"/>
      <c r="H227" s="47"/>
      <c r="I227" s="47"/>
      <c r="J227" s="47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</row>
    <row r="228" spans="2:24" x14ac:dyDescent="0.25">
      <c r="B228" s="46"/>
      <c r="C228" s="47"/>
      <c r="D228" s="47"/>
      <c r="E228" s="47"/>
      <c r="F228" s="47"/>
      <c r="G228" s="47"/>
      <c r="H228" s="47"/>
      <c r="I228" s="47"/>
      <c r="J228" s="47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</row>
    <row r="229" spans="2:24" x14ac:dyDescent="0.25">
      <c r="B229" s="46"/>
      <c r="C229" s="47"/>
      <c r="D229" s="47"/>
      <c r="E229" s="47"/>
      <c r="F229" s="47"/>
      <c r="G229" s="47"/>
      <c r="H229" s="47"/>
      <c r="I229" s="47"/>
      <c r="J229" s="47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</row>
    <row r="230" spans="2:24" x14ac:dyDescent="0.25">
      <c r="B230" s="46"/>
      <c r="C230" s="47"/>
      <c r="D230" s="47"/>
      <c r="E230" s="47"/>
      <c r="F230" s="47"/>
      <c r="G230" s="47"/>
      <c r="H230" s="47"/>
      <c r="I230" s="47"/>
      <c r="J230" s="47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</row>
    <row r="231" spans="2:24" x14ac:dyDescent="0.25">
      <c r="B231" s="46"/>
      <c r="C231" s="47"/>
      <c r="D231" s="47"/>
      <c r="E231" s="47"/>
      <c r="F231" s="47"/>
      <c r="G231" s="47"/>
      <c r="H231" s="47"/>
      <c r="I231" s="47"/>
      <c r="J231" s="47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 spans="2:24" x14ac:dyDescent="0.25">
      <c r="B232" s="46"/>
      <c r="C232" s="47"/>
      <c r="D232" s="47"/>
      <c r="E232" s="47"/>
      <c r="F232" s="47"/>
      <c r="G232" s="47"/>
      <c r="H232" s="47"/>
      <c r="I232" s="47"/>
      <c r="J232" s="47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</row>
    <row r="233" spans="2:24" x14ac:dyDescent="0.25">
      <c r="B233" s="46"/>
      <c r="C233" s="47"/>
      <c r="D233" s="47"/>
      <c r="E233" s="47"/>
      <c r="F233" s="47"/>
      <c r="G233" s="47"/>
      <c r="H233" s="47"/>
      <c r="I233" s="47"/>
      <c r="J233" s="47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</row>
    <row r="234" spans="2:24" x14ac:dyDescent="0.25">
      <c r="B234" s="46"/>
      <c r="C234" s="47"/>
      <c r="D234" s="47"/>
      <c r="E234" s="47"/>
      <c r="F234" s="47"/>
      <c r="G234" s="47"/>
      <c r="H234" s="47"/>
      <c r="I234" s="47"/>
      <c r="J234" s="47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</row>
    <row r="235" spans="2:24" x14ac:dyDescent="0.25">
      <c r="B235" s="46"/>
      <c r="C235" s="47"/>
      <c r="D235" s="47"/>
      <c r="E235" s="47"/>
      <c r="F235" s="47"/>
      <c r="G235" s="47"/>
      <c r="H235" s="47"/>
      <c r="I235" s="47"/>
      <c r="J235" s="47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</row>
    <row r="236" spans="2:24" x14ac:dyDescent="0.25">
      <c r="B236" s="46"/>
      <c r="C236" s="47"/>
      <c r="D236" s="47"/>
      <c r="E236" s="47"/>
      <c r="F236" s="47"/>
      <c r="G236" s="47"/>
      <c r="H236" s="47"/>
      <c r="I236" s="47"/>
      <c r="J236" s="47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</row>
    <row r="237" spans="2:24" x14ac:dyDescent="0.25">
      <c r="B237" s="46"/>
      <c r="C237" s="47"/>
      <c r="D237" s="47"/>
      <c r="E237" s="47"/>
      <c r="F237" s="47"/>
      <c r="G237" s="47"/>
      <c r="H237" s="47"/>
      <c r="I237" s="47"/>
      <c r="J237" s="47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</row>
    <row r="238" spans="2:24" x14ac:dyDescent="0.25">
      <c r="B238" s="46"/>
      <c r="C238" s="47"/>
      <c r="D238" s="47"/>
      <c r="E238" s="47"/>
      <c r="F238" s="47"/>
      <c r="G238" s="47"/>
      <c r="H238" s="47"/>
      <c r="I238" s="47"/>
      <c r="J238" s="47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</row>
    <row r="239" spans="2:24" x14ac:dyDescent="0.25">
      <c r="B239" s="46"/>
      <c r="C239" s="47"/>
      <c r="D239" s="47"/>
      <c r="E239" s="47"/>
      <c r="F239" s="47"/>
      <c r="G239" s="47"/>
      <c r="H239" s="47"/>
      <c r="I239" s="47"/>
      <c r="J239" s="47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</row>
    <row r="240" spans="2:24" x14ac:dyDescent="0.25">
      <c r="B240" s="46"/>
      <c r="C240" s="47"/>
      <c r="D240" s="47"/>
      <c r="E240" s="47"/>
      <c r="F240" s="47"/>
      <c r="G240" s="47"/>
      <c r="H240" s="47"/>
      <c r="I240" s="47"/>
      <c r="J240" s="47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</row>
    <row r="241" spans="2:24" x14ac:dyDescent="0.25">
      <c r="B241" s="46"/>
      <c r="C241" s="47"/>
      <c r="D241" s="47"/>
      <c r="E241" s="47"/>
      <c r="F241" s="47"/>
      <c r="G241" s="47"/>
      <c r="H241" s="47"/>
      <c r="I241" s="47"/>
      <c r="J241" s="47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</row>
    <row r="242" spans="2:24" x14ac:dyDescent="0.25">
      <c r="B242" s="46"/>
      <c r="C242" s="47"/>
      <c r="D242" s="47"/>
      <c r="E242" s="47"/>
      <c r="F242" s="47"/>
      <c r="G242" s="47"/>
      <c r="H242" s="47"/>
      <c r="I242" s="47"/>
      <c r="J242" s="47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</row>
    <row r="243" spans="2:24" x14ac:dyDescent="0.25">
      <c r="B243" s="46"/>
      <c r="C243" s="47"/>
      <c r="D243" s="47"/>
      <c r="E243" s="47"/>
      <c r="F243" s="47"/>
      <c r="G243" s="47"/>
      <c r="H243" s="47"/>
      <c r="I243" s="47"/>
      <c r="J243" s="47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</row>
    <row r="244" spans="2:24" x14ac:dyDescent="0.25">
      <c r="B244" s="46"/>
      <c r="C244" s="47"/>
      <c r="D244" s="47"/>
      <c r="E244" s="47"/>
      <c r="F244" s="47"/>
      <c r="G244" s="47"/>
      <c r="H244" s="47"/>
      <c r="I244" s="47"/>
      <c r="J244" s="47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</row>
    <row r="245" spans="2:24" x14ac:dyDescent="0.25">
      <c r="B245" s="46"/>
      <c r="C245" s="47"/>
      <c r="D245" s="47"/>
      <c r="E245" s="47"/>
      <c r="F245" s="47"/>
      <c r="G245" s="47"/>
      <c r="H245" s="47"/>
      <c r="I245" s="47"/>
      <c r="J245" s="47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</row>
    <row r="246" spans="2:24" x14ac:dyDescent="0.25">
      <c r="B246" s="46"/>
      <c r="C246" s="47"/>
      <c r="D246" s="47"/>
      <c r="E246" s="47"/>
      <c r="F246" s="47"/>
      <c r="G246" s="47"/>
      <c r="H246" s="47"/>
      <c r="I246" s="47"/>
      <c r="J246" s="47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</row>
    <row r="247" spans="2:24" x14ac:dyDescent="0.25">
      <c r="B247" s="46"/>
      <c r="C247" s="47"/>
      <c r="D247" s="47"/>
      <c r="E247" s="47"/>
      <c r="F247" s="47"/>
      <c r="G247" s="47"/>
      <c r="H247" s="47"/>
      <c r="I247" s="47"/>
      <c r="J247" s="47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</row>
    <row r="248" spans="2:24" x14ac:dyDescent="0.25">
      <c r="B248" s="46"/>
      <c r="C248" s="47"/>
      <c r="D248" s="47"/>
      <c r="E248" s="47"/>
      <c r="F248" s="47"/>
      <c r="G248" s="47"/>
      <c r="H248" s="47"/>
      <c r="I248" s="47"/>
      <c r="J248" s="47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</row>
    <row r="249" spans="2:24" x14ac:dyDescent="0.25">
      <c r="B249" s="46"/>
      <c r="C249" s="47"/>
      <c r="D249" s="47"/>
      <c r="E249" s="47"/>
      <c r="F249" s="47"/>
      <c r="G249" s="47"/>
      <c r="H249" s="47"/>
      <c r="I249" s="47"/>
      <c r="J249" s="47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</row>
    <row r="250" spans="2:24" x14ac:dyDescent="0.25">
      <c r="B250" s="46"/>
      <c r="C250" s="47"/>
      <c r="D250" s="47"/>
      <c r="E250" s="47"/>
      <c r="F250" s="47"/>
      <c r="G250" s="47"/>
      <c r="H250" s="47"/>
      <c r="I250" s="47"/>
      <c r="J250" s="47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</row>
    <row r="251" spans="2:24" x14ac:dyDescent="0.25">
      <c r="B251" s="46"/>
      <c r="C251" s="47"/>
      <c r="D251" s="47"/>
      <c r="E251" s="47"/>
      <c r="F251" s="47"/>
      <c r="G251" s="47"/>
      <c r="H251" s="47"/>
      <c r="I251" s="47"/>
      <c r="J251" s="47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</row>
    <row r="252" spans="2:24" x14ac:dyDescent="0.25">
      <c r="B252" s="46"/>
      <c r="C252" s="47"/>
      <c r="D252" s="47"/>
      <c r="E252" s="47"/>
      <c r="F252" s="47"/>
      <c r="G252" s="47"/>
      <c r="H252" s="47"/>
      <c r="I252" s="47"/>
      <c r="J252" s="47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</row>
    <row r="253" spans="2:24" x14ac:dyDescent="0.25">
      <c r="B253" s="46"/>
      <c r="C253" s="47"/>
      <c r="D253" s="47"/>
      <c r="E253" s="47"/>
      <c r="F253" s="47"/>
      <c r="G253" s="47"/>
      <c r="H253" s="47"/>
      <c r="I253" s="47"/>
      <c r="J253" s="47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</row>
    <row r="254" spans="2:24" x14ac:dyDescent="0.25">
      <c r="B254" s="46"/>
      <c r="C254" s="47"/>
      <c r="D254" s="47"/>
      <c r="E254" s="47"/>
      <c r="F254" s="47"/>
      <c r="G254" s="47"/>
      <c r="H254" s="47"/>
      <c r="I254" s="47"/>
      <c r="J254" s="47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</row>
    <row r="255" spans="2:24" x14ac:dyDescent="0.25">
      <c r="B255" s="46"/>
      <c r="C255" s="47"/>
      <c r="D255" s="47"/>
      <c r="E255" s="47"/>
      <c r="F255" s="47"/>
      <c r="G255" s="47"/>
      <c r="H255" s="47"/>
      <c r="I255" s="47"/>
      <c r="J255" s="47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</row>
    <row r="256" spans="2:24" x14ac:dyDescent="0.25">
      <c r="B256" s="46"/>
      <c r="C256" s="47"/>
      <c r="D256" s="47"/>
      <c r="E256" s="47"/>
      <c r="F256" s="47"/>
      <c r="G256" s="47"/>
      <c r="H256" s="47"/>
      <c r="I256" s="47"/>
      <c r="J256" s="47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</row>
    <row r="257" spans="2:24" x14ac:dyDescent="0.25">
      <c r="B257" s="46"/>
      <c r="C257" s="47"/>
      <c r="D257" s="47"/>
      <c r="E257" s="47"/>
      <c r="F257" s="47"/>
      <c r="G257" s="47"/>
      <c r="H257" s="47"/>
      <c r="I257" s="47"/>
      <c r="J257" s="47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</row>
    <row r="258" spans="2:24" x14ac:dyDescent="0.25">
      <c r="B258" s="46"/>
      <c r="C258" s="47"/>
      <c r="D258" s="47"/>
      <c r="E258" s="47"/>
      <c r="F258" s="47"/>
      <c r="G258" s="47"/>
      <c r="H258" s="47"/>
      <c r="I258" s="47"/>
      <c r="J258" s="47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</row>
    <row r="259" spans="2:24" x14ac:dyDescent="0.25">
      <c r="B259" s="46"/>
      <c r="C259" s="47"/>
      <c r="D259" s="47"/>
      <c r="E259" s="47"/>
      <c r="F259" s="47"/>
      <c r="G259" s="47"/>
      <c r="H259" s="47"/>
      <c r="I259" s="47"/>
      <c r="J259" s="47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</row>
    <row r="260" spans="2:24" x14ac:dyDescent="0.25">
      <c r="B260" s="46"/>
      <c r="C260" s="47"/>
      <c r="D260" s="47"/>
      <c r="E260" s="47"/>
      <c r="F260" s="47"/>
      <c r="G260" s="47"/>
      <c r="H260" s="47"/>
      <c r="I260" s="47"/>
      <c r="J260" s="47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</row>
    <row r="261" spans="2:24" x14ac:dyDescent="0.25">
      <c r="B261" s="46"/>
      <c r="C261" s="47"/>
      <c r="D261" s="47"/>
      <c r="E261" s="47"/>
      <c r="F261" s="47"/>
      <c r="G261" s="47"/>
      <c r="H261" s="47"/>
      <c r="I261" s="47"/>
      <c r="J261" s="47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</row>
    <row r="262" spans="2:24" x14ac:dyDescent="0.25">
      <c r="B262" s="46"/>
      <c r="C262" s="47"/>
      <c r="D262" s="47"/>
      <c r="E262" s="47"/>
      <c r="F262" s="47"/>
      <c r="G262" s="47"/>
      <c r="H262" s="47"/>
      <c r="I262" s="47"/>
      <c r="J262" s="47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</row>
    <row r="263" spans="2:24" x14ac:dyDescent="0.25">
      <c r="B263" s="46"/>
      <c r="C263" s="47"/>
      <c r="D263" s="47"/>
      <c r="E263" s="47"/>
      <c r="F263" s="47"/>
      <c r="G263" s="47"/>
      <c r="H263" s="47"/>
      <c r="I263" s="47"/>
      <c r="J263" s="47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</row>
    <row r="264" spans="2:24" x14ac:dyDescent="0.25">
      <c r="B264" s="46"/>
      <c r="C264" s="47"/>
      <c r="D264" s="47"/>
      <c r="E264" s="47"/>
      <c r="F264" s="47"/>
      <c r="G264" s="47"/>
      <c r="H264" s="47"/>
      <c r="I264" s="47"/>
      <c r="J264" s="47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</row>
    <row r="265" spans="2:24" x14ac:dyDescent="0.25">
      <c r="B265" s="46"/>
      <c r="C265" s="47"/>
      <c r="D265" s="47"/>
      <c r="E265" s="47"/>
      <c r="F265" s="47"/>
      <c r="G265" s="47"/>
      <c r="H265" s="47"/>
      <c r="I265" s="47"/>
      <c r="J265" s="47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</row>
    <row r="266" spans="2:24" x14ac:dyDescent="0.25">
      <c r="B266" s="46"/>
      <c r="C266" s="47"/>
      <c r="D266" s="47"/>
      <c r="E266" s="47"/>
      <c r="F266" s="47"/>
      <c r="G266" s="47"/>
      <c r="H266" s="47"/>
      <c r="I266" s="47"/>
      <c r="J266" s="47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</row>
    <row r="267" spans="2:24" x14ac:dyDescent="0.25">
      <c r="B267" s="46"/>
      <c r="C267" s="47"/>
      <c r="D267" s="47"/>
      <c r="E267" s="47"/>
      <c r="F267" s="47"/>
      <c r="G267" s="47"/>
      <c r="H267" s="47"/>
      <c r="I267" s="47"/>
      <c r="J267" s="47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</row>
    <row r="268" spans="2:24" x14ac:dyDescent="0.25">
      <c r="B268" s="46"/>
      <c r="C268" s="47"/>
      <c r="D268" s="47"/>
      <c r="E268" s="47"/>
      <c r="F268" s="47"/>
      <c r="G268" s="47"/>
      <c r="H268" s="47"/>
      <c r="I268" s="47"/>
      <c r="J268" s="47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</row>
    <row r="269" spans="2:24" x14ac:dyDescent="0.25">
      <c r="B269" s="46"/>
      <c r="C269" s="47"/>
      <c r="D269" s="47"/>
      <c r="E269" s="47"/>
      <c r="F269" s="47"/>
      <c r="G269" s="47"/>
      <c r="H269" s="47"/>
      <c r="I269" s="47"/>
      <c r="J269" s="47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</row>
    <row r="270" spans="2:24" x14ac:dyDescent="0.25">
      <c r="B270" s="46"/>
      <c r="C270" s="47"/>
      <c r="D270" s="47"/>
      <c r="E270" s="47"/>
      <c r="F270" s="47"/>
      <c r="G270" s="47"/>
      <c r="H270" s="47"/>
      <c r="I270" s="47"/>
      <c r="J270" s="47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</row>
    <row r="271" spans="2:24" x14ac:dyDescent="0.25">
      <c r="B271" s="46"/>
      <c r="C271" s="47"/>
      <c r="D271" s="47"/>
      <c r="E271" s="47"/>
      <c r="F271" s="47"/>
      <c r="G271" s="47"/>
      <c r="H271" s="47"/>
      <c r="I271" s="47"/>
      <c r="J271" s="47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</row>
    <row r="272" spans="2:24" x14ac:dyDescent="0.25">
      <c r="B272" s="46"/>
      <c r="C272" s="47"/>
      <c r="D272" s="47"/>
      <c r="E272" s="47"/>
      <c r="F272" s="47"/>
      <c r="G272" s="47"/>
      <c r="H272" s="47"/>
      <c r="I272" s="47"/>
      <c r="J272" s="47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</row>
    <row r="273" spans="2:24" x14ac:dyDescent="0.25">
      <c r="B273" s="46"/>
      <c r="C273" s="47"/>
      <c r="D273" s="47"/>
      <c r="E273" s="47"/>
      <c r="F273" s="47"/>
      <c r="G273" s="47"/>
      <c r="H273" s="47"/>
      <c r="I273" s="47"/>
      <c r="J273" s="47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</row>
  </sheetData>
  <mergeCells count="18">
    <mergeCell ref="B2:B3"/>
    <mergeCell ref="C2:C3"/>
    <mergeCell ref="D2:D3"/>
    <mergeCell ref="E2:E3"/>
    <mergeCell ref="F2:F3"/>
    <mergeCell ref="B14:B15"/>
    <mergeCell ref="C14:C15"/>
    <mergeCell ref="D14:D15"/>
    <mergeCell ref="E14:E15"/>
    <mergeCell ref="F14:F15"/>
    <mergeCell ref="I14:I15"/>
    <mergeCell ref="J14:J15"/>
    <mergeCell ref="G2:G3"/>
    <mergeCell ref="I2:I3"/>
    <mergeCell ref="J2:J3"/>
    <mergeCell ref="H14:H15"/>
    <mergeCell ref="G14:G15"/>
    <mergeCell ref="H2:H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3"/>
  <sheetViews>
    <sheetView showGridLines="0" topLeftCell="A16" workbookViewId="0">
      <selection activeCell="X15" sqref="X15"/>
    </sheetView>
  </sheetViews>
  <sheetFormatPr defaultRowHeight="15" x14ac:dyDescent="0.25"/>
  <cols>
    <col min="1" max="1" width="2.42578125" customWidth="1"/>
    <col min="2" max="2" width="14.7109375" style="15" customWidth="1"/>
    <col min="3" max="5" width="14.7109375" style="1" customWidth="1"/>
    <col min="6" max="6" width="10.7109375" style="1" customWidth="1"/>
    <col min="7" max="7" width="12.7109375" style="1" customWidth="1"/>
    <col min="8" max="10" width="14.7109375" style="1" customWidth="1"/>
    <col min="11" max="11" width="2.42578125" customWidth="1"/>
  </cols>
  <sheetData>
    <row r="1" spans="1:17" ht="15.75" thickBot="1" x14ac:dyDescent="0.3">
      <c r="I1" s="57"/>
    </row>
    <row r="2" spans="1:17" ht="15" customHeight="1" x14ac:dyDescent="0.25">
      <c r="B2" s="136" t="s">
        <v>22</v>
      </c>
      <c r="C2" s="116" t="s">
        <v>72</v>
      </c>
      <c r="D2" s="116" t="s">
        <v>86</v>
      </c>
      <c r="E2" s="116" t="s">
        <v>69</v>
      </c>
      <c r="F2" s="118" t="s">
        <v>23</v>
      </c>
      <c r="G2" s="157"/>
      <c r="H2" s="157"/>
      <c r="I2" s="157"/>
      <c r="J2" s="157"/>
    </row>
    <row r="3" spans="1:17" ht="15.75" customHeight="1" thickBot="1" x14ac:dyDescent="0.3">
      <c r="B3" s="137"/>
      <c r="C3" s="117"/>
      <c r="D3" s="117"/>
      <c r="E3" s="117"/>
      <c r="F3" s="119"/>
      <c r="G3" s="157"/>
      <c r="H3" s="157"/>
      <c r="I3" s="157"/>
      <c r="J3" s="157"/>
    </row>
    <row r="4" spans="1:17" x14ac:dyDescent="0.25">
      <c r="A4" s="50"/>
      <c r="B4" s="85">
        <v>43831</v>
      </c>
      <c r="C4" s="45">
        <f>SUMIFS('Raw Data'!$I$5:$I$500,'Raw Data'!$F$5:$F$500,"&gt;="&amp;$B4,'Raw Data'!$F$5:$F$500,"&lt;="&amp;EOMONTH($B4,0))</f>
        <v>445519.35000000009</v>
      </c>
      <c r="D4" s="56">
        <f>COUNTIFS('Raw Data'!$F$5:$F$500,"&gt;="&amp;$B4,'Raw Data'!$F$5:$F$500,"&lt;="&amp;EOMONTH($B4,0))</f>
        <v>28</v>
      </c>
      <c r="E4" s="45">
        <f>SUMIFS('Raw Data'!$I$5:$I$500,'Raw Data'!$F$5:$F$500,"&gt;="&amp;$B4,'Raw Data'!$F$5:$F$500,"&lt;="&amp;EOMONTH($B4,0))/COUNTIFS('Raw Data'!$F$5:$F$500,"&gt;="&amp;$B4,'Raw Data'!$F$5:$F$500,"&lt;="&amp;EOMONTH($B4,0))</f>
        <v>15911.405357142861</v>
      </c>
      <c r="F4" s="88">
        <f>SUMIFS('Raw Data'!$K$5:$K$500,'Raw Data'!$F$5:$F$500,"&gt;="&amp;$B4,'Raw Data'!$F$5:$F$500,"&lt;="&amp;EOMONTH($B4,0))/COUNTIFS('Raw Data'!$F$5:$F$500,"&gt;="&amp;$B4,'Raw Data'!$F$5:$F$500,"&lt;="&amp;EOMONTH($B4,0))</f>
        <v>0.50696269345277956</v>
      </c>
      <c r="G4" s="74"/>
      <c r="H4" s="73"/>
      <c r="I4" s="73"/>
      <c r="J4" s="73"/>
    </row>
    <row r="5" spans="1:17" x14ac:dyDescent="0.25">
      <c r="A5" s="50"/>
      <c r="B5" s="84">
        <v>43862</v>
      </c>
      <c r="C5" s="44">
        <f>SUMIFS('Raw Data'!$I$5:$I$500,'Raw Data'!$F$5:$F$500,"&gt;="&amp;$B5,'Raw Data'!$F$5:$F$500,"&lt;="&amp;EOMONTH($B5,0))</f>
        <v>177661.12999999998</v>
      </c>
      <c r="D5" s="56">
        <f>COUNTIFS('Raw Data'!$F$5:$F$500,"&gt;="&amp;$B5,'Raw Data'!$F$5:$F$500,"&lt;="&amp;EOMONTH($B5,0))</f>
        <v>14</v>
      </c>
      <c r="E5" s="45">
        <f>SUMIFS('Raw Data'!$I$5:$I$500,'Raw Data'!$F$5:$F$500,"&gt;="&amp;$B5,'Raw Data'!$F$5:$F$500,"&lt;="&amp;EOMONTH($B5,0))/COUNTIFS('Raw Data'!$F$5:$F$500,"&gt;="&amp;$B5,'Raw Data'!$F$5:$F$500,"&lt;="&amp;EOMONTH($B5,0))</f>
        <v>12690.080714285712</v>
      </c>
      <c r="F5" s="88">
        <f>SUMIFS('Raw Data'!$K$5:$K$500,'Raw Data'!$F$5:$F$500,"&gt;="&amp;$B5,'Raw Data'!$F$5:$F$500,"&lt;="&amp;EOMONTH($B5,0))/COUNTIFS('Raw Data'!$F$5:$F$500,"&gt;="&amp;$B5,'Raw Data'!$F$5:$F$500,"&lt;="&amp;EOMONTH($B5,0))</f>
        <v>0.47843654047841461</v>
      </c>
      <c r="G5" s="74"/>
      <c r="H5" s="73"/>
      <c r="I5" s="73"/>
      <c r="J5" s="73"/>
    </row>
    <row r="6" spans="1:17" x14ac:dyDescent="0.25">
      <c r="A6" s="50"/>
      <c r="B6" s="84">
        <v>43891</v>
      </c>
      <c r="C6" s="44">
        <f>SUMIFS('Raw Data'!$I$5:$I$500,'Raw Data'!$F$5:$F$500,"&gt;="&amp;$B6,'Raw Data'!$F$5:$F$500,"&lt;="&amp;EOMONTH($B6,0))</f>
        <v>223446.62000000002</v>
      </c>
      <c r="D6" s="56">
        <f>COUNTIFS('Raw Data'!$F$5:$F$500,"&gt;="&amp;$B6,'Raw Data'!$F$5:$F$500,"&lt;="&amp;EOMONTH($B6,0))</f>
        <v>16</v>
      </c>
      <c r="E6" s="45">
        <f>SUMIFS('Raw Data'!$I$5:$I$500,'Raw Data'!$F$5:$F$500,"&gt;="&amp;$B6,'Raw Data'!$F$5:$F$500,"&lt;="&amp;EOMONTH($B6,0))/COUNTIFS('Raw Data'!$F$5:$F$500,"&gt;="&amp;$B6,'Raw Data'!$F$5:$F$500,"&lt;="&amp;EOMONTH($B6,0))</f>
        <v>13965.413750000002</v>
      </c>
      <c r="F6" s="88">
        <f>SUMIFS('Raw Data'!$K$5:$K$500,'Raw Data'!$F$5:$F$500,"&gt;="&amp;$B6,'Raw Data'!$F$5:$F$500,"&lt;="&amp;EOMONTH($B6,0))/COUNTIFS('Raw Data'!$F$5:$F$500,"&gt;="&amp;$B6,'Raw Data'!$F$5:$F$500,"&lt;="&amp;EOMONTH($B6,0))</f>
        <v>0.44727652816640179</v>
      </c>
      <c r="G6" s="74"/>
      <c r="H6" s="73"/>
      <c r="I6" s="73"/>
      <c r="J6" s="73"/>
      <c r="M6" s="86"/>
    </row>
    <row r="7" spans="1:17" x14ac:dyDescent="0.25">
      <c r="A7" s="50"/>
      <c r="B7" s="85">
        <v>43922</v>
      </c>
      <c r="C7" s="44">
        <f>SUMIFS('Raw Data'!$I$5:$I$500,'Raw Data'!$F$5:$F$500,"&gt;="&amp;$B7,'Raw Data'!$F$5:$F$500,"&lt;="&amp;EOMONTH($B7,0))</f>
        <v>139491.77000000002</v>
      </c>
      <c r="D7" s="56">
        <f>COUNTIFS('Raw Data'!$F$5:$F$500,"&gt;="&amp;$B7,'Raw Data'!$F$5:$F$500,"&lt;="&amp;EOMONTH($B7,0))</f>
        <v>12</v>
      </c>
      <c r="E7" s="45">
        <f>SUMIFS('Raw Data'!$I$5:$I$500,'Raw Data'!$F$5:$F$500,"&gt;="&amp;$B7,'Raw Data'!$F$5:$F$500,"&lt;="&amp;EOMONTH($B7,0))/COUNTIFS('Raw Data'!$F$5:$F$500,"&gt;="&amp;$B7,'Raw Data'!$F$5:$F$500,"&lt;="&amp;EOMONTH($B7,0))</f>
        <v>11624.314166666669</v>
      </c>
      <c r="F7" s="88">
        <f>SUMIFS('Raw Data'!$K$5:$K$500,'Raw Data'!$F$5:$F$500,"&gt;="&amp;$B7,'Raw Data'!$F$5:$F$500,"&lt;="&amp;EOMONTH($B7,0))/COUNTIFS('Raw Data'!$F$5:$F$500,"&gt;="&amp;$B7,'Raw Data'!$F$5:$F$500,"&lt;="&amp;EOMONTH($B7,0))</f>
        <v>0.55402715388311086</v>
      </c>
      <c r="G7" s="74"/>
      <c r="H7" s="73"/>
      <c r="I7" s="73"/>
      <c r="J7" s="73"/>
    </row>
    <row r="8" spans="1:17" x14ac:dyDescent="0.25">
      <c r="A8" s="50"/>
      <c r="B8" s="84">
        <v>43952</v>
      </c>
      <c r="C8" s="44">
        <f>SUMIFS('Raw Data'!$I$5:$I$500,'Raw Data'!$F$5:$F$500,"&gt;="&amp;$B8,'Raw Data'!$F$5:$F$500,"&lt;="&amp;EOMONTH($B8,0))</f>
        <v>300668.82</v>
      </c>
      <c r="D8" s="56">
        <f>COUNTIFS('Raw Data'!$F$5:$F$500,"&gt;="&amp;$B8,'Raw Data'!$F$5:$F$500,"&lt;="&amp;EOMONTH($B8,0))</f>
        <v>27</v>
      </c>
      <c r="E8" s="45">
        <f>SUMIFS('Raw Data'!$I$5:$I$500,'Raw Data'!$F$5:$F$500,"&gt;="&amp;$B8,'Raw Data'!$F$5:$F$500,"&lt;="&amp;EOMONTH($B8,0))/COUNTIFS('Raw Data'!$F$5:$F$500,"&gt;="&amp;$B8,'Raw Data'!$F$5:$F$500,"&lt;="&amp;EOMONTH($B8,0))</f>
        <v>11135.882222222222</v>
      </c>
      <c r="F8" s="88">
        <f>SUMIFS('Raw Data'!$K$5:$K$500,'Raw Data'!$F$5:$F$500,"&gt;="&amp;$B8,'Raw Data'!$F$5:$F$500,"&lt;="&amp;EOMONTH($B8,0))/COUNTIFS('Raw Data'!$F$5:$F$500,"&gt;="&amp;$B8,'Raw Data'!$F$5:$F$500,"&lt;="&amp;EOMONTH($B8,0))</f>
        <v>0.48960461475274597</v>
      </c>
      <c r="G8" s="74"/>
      <c r="H8" s="73"/>
      <c r="I8" s="73"/>
      <c r="J8" s="73"/>
      <c r="Q8" s="6"/>
    </row>
    <row r="9" spans="1:17" x14ac:dyDescent="0.25">
      <c r="A9" s="50"/>
      <c r="B9" s="85">
        <v>43983</v>
      </c>
      <c r="C9" s="44">
        <f>SUMIFS('Raw Data'!$I$5:$I$500,'Raw Data'!$F$5:$F$500,"&gt;="&amp;$B9,'Raw Data'!$F$5:$F$500,"&lt;="&amp;EOMONTH($B9,0))</f>
        <v>383937.43</v>
      </c>
      <c r="D9" s="56">
        <f>COUNTIFS('Raw Data'!$F$5:$F$500,"&gt;="&amp;$B9,'Raw Data'!$F$5:$F$500,"&lt;="&amp;EOMONTH($B9,0))</f>
        <v>30</v>
      </c>
      <c r="E9" s="45">
        <f>SUMIFS('Raw Data'!$I$5:$I$500,'Raw Data'!$F$5:$F$500,"&gt;="&amp;$B9,'Raw Data'!$F$5:$F$500,"&lt;="&amp;EOMONTH($B9,0))/COUNTIFS('Raw Data'!$F$5:$F$500,"&gt;="&amp;$B9,'Raw Data'!$F$5:$F$500,"&lt;="&amp;EOMONTH($B9,0))</f>
        <v>12797.914333333332</v>
      </c>
      <c r="F9" s="88">
        <f>SUMIFS('Raw Data'!$K$5:$K$500,'Raw Data'!$F$5:$F$500,"&gt;="&amp;$B9,'Raw Data'!$F$5:$F$500,"&lt;="&amp;EOMONTH($B9,0))/COUNTIFS('Raw Data'!$F$5:$F$500,"&gt;="&amp;$B9,'Raw Data'!$F$5:$F$500,"&lt;="&amp;EOMONTH($B9,0))</f>
        <v>0.52448124769165838</v>
      </c>
      <c r="G9" s="74"/>
      <c r="H9" s="73"/>
      <c r="I9" s="73"/>
      <c r="J9" s="73"/>
    </row>
    <row r="10" spans="1:17" x14ac:dyDescent="0.25">
      <c r="A10" s="50"/>
      <c r="B10" s="84">
        <v>44013</v>
      </c>
      <c r="C10" s="44">
        <f>SUMIFS('Raw Data'!$I$5:$I$500,'Raw Data'!$F$5:$F$500,"&gt;="&amp;$B10,'Raw Data'!$F$5:$F$500,"&lt;="&amp;EOMONTH($B10,0))</f>
        <v>557112.94999999995</v>
      </c>
      <c r="D10" s="56">
        <f>COUNTIFS('Raw Data'!$F$5:$F$500,"&gt;="&amp;$B10,'Raw Data'!$F$5:$F$500,"&lt;="&amp;EOMONTH($B10,0))</f>
        <v>40</v>
      </c>
      <c r="E10" s="45">
        <f>SUMIFS('Raw Data'!$I$5:$I$500,'Raw Data'!$F$5:$F$500,"&gt;="&amp;$B10,'Raw Data'!$F$5:$F$500,"&lt;="&amp;EOMONTH($B10,0))/COUNTIFS('Raw Data'!$F$5:$F$500,"&gt;="&amp;$B10,'Raw Data'!$F$5:$F$500,"&lt;="&amp;EOMONTH($B10,0))</f>
        <v>13927.82375</v>
      </c>
      <c r="F10" s="88">
        <f>SUMIFS('Raw Data'!$K$5:$K$500,'Raw Data'!$F$5:$F$500,"&gt;="&amp;$B10,'Raw Data'!$F$5:$F$500,"&lt;="&amp;EOMONTH($B10,0))/COUNTIFS('Raw Data'!$F$5:$F$500,"&gt;="&amp;$B10,'Raw Data'!$F$5:$F$500,"&lt;="&amp;EOMONTH($B10,0))</f>
        <v>0.55438713629376801</v>
      </c>
      <c r="G10" s="74"/>
      <c r="H10" s="73"/>
      <c r="I10" s="73"/>
      <c r="J10" s="73"/>
    </row>
    <row r="11" spans="1:17" x14ac:dyDescent="0.25">
      <c r="A11" s="50"/>
      <c r="B11" s="84">
        <v>44044</v>
      </c>
      <c r="C11" s="44">
        <f>SUMIFS('Raw Data'!$I$5:$I$500,'Raw Data'!$F$5:$F$500,"&gt;="&amp;$B11,'Raw Data'!$F$5:$F$500,"&lt;="&amp;EOMONTH($B11,0))</f>
        <v>370443.86</v>
      </c>
      <c r="D11" s="56">
        <f>COUNTIFS('Raw Data'!$F$5:$F$500,"&gt;="&amp;$B11,'Raw Data'!$F$5:$F$500,"&lt;="&amp;EOMONTH($B11,0))</f>
        <v>26</v>
      </c>
      <c r="E11" s="45">
        <f>SUMIFS('Raw Data'!$I$5:$I$500,'Raw Data'!$F$5:$F$500,"&gt;="&amp;$B11,'Raw Data'!$F$5:$F$500,"&lt;="&amp;EOMONTH($B11,0))/COUNTIFS('Raw Data'!$F$5:$F$500,"&gt;="&amp;$B11,'Raw Data'!$F$5:$F$500,"&lt;="&amp;EOMONTH($B11,0))</f>
        <v>14247.840769230768</v>
      </c>
      <c r="F11" s="88">
        <f>SUMIFS('Raw Data'!$K$5:$K$500,'Raw Data'!$F$5:$F$500,"&gt;="&amp;$B11,'Raw Data'!$F$5:$F$500,"&lt;="&amp;EOMONTH($B11,0))/COUNTIFS('Raw Data'!$F$5:$F$500,"&gt;="&amp;$B11,'Raw Data'!$F$5:$F$500,"&lt;="&amp;EOMONTH($B11,0))</f>
        <v>0.49961857068538446</v>
      </c>
      <c r="G11" s="74"/>
      <c r="H11" s="73"/>
      <c r="I11" s="73"/>
      <c r="J11" s="73"/>
    </row>
    <row r="12" spans="1:17" x14ac:dyDescent="0.25">
      <c r="A12" s="50"/>
      <c r="B12" s="85">
        <v>44075</v>
      </c>
      <c r="C12" s="44">
        <f>SUMIFS('Raw Data'!$I$5:$I$500,'Raw Data'!$F$5:$F$500,"&gt;="&amp;$B12,'Raw Data'!$F$5:$F$500,"&lt;="&amp;EOMONTH($B12,0))</f>
        <v>563165.88</v>
      </c>
      <c r="D12" s="56">
        <f>COUNTIFS('Raw Data'!$F$5:$F$500,"&gt;="&amp;$B12,'Raw Data'!$F$5:$F$500,"&lt;="&amp;EOMONTH($B12,0))</f>
        <v>29</v>
      </c>
      <c r="E12" s="45">
        <f>SUMIFS('Raw Data'!$I$5:$I$500,'Raw Data'!$F$5:$F$500,"&gt;="&amp;$B12,'Raw Data'!$F$5:$F$500,"&lt;="&amp;EOMONTH($B12,0))/COUNTIFS('Raw Data'!$F$5:$F$500,"&gt;="&amp;$B12,'Raw Data'!$F$5:$F$500,"&lt;="&amp;EOMONTH($B12,0))</f>
        <v>19419.513103448277</v>
      </c>
      <c r="F12" s="88">
        <f>SUMIFS('Raw Data'!$K$5:$K$500,'Raw Data'!$F$5:$F$500,"&gt;="&amp;$B12,'Raw Data'!$F$5:$F$500,"&lt;="&amp;EOMONTH($B12,0))/COUNTIFS('Raw Data'!$F$5:$F$500,"&gt;="&amp;$B12,'Raw Data'!$F$5:$F$500,"&lt;="&amp;EOMONTH($B12,0))</f>
        <v>0.4994524369871356</v>
      </c>
      <c r="G12" s="74"/>
      <c r="H12" s="73"/>
      <c r="I12" s="73"/>
      <c r="J12" s="73"/>
    </row>
    <row r="13" spans="1:17" x14ac:dyDescent="0.25">
      <c r="A13" s="50"/>
      <c r="B13" s="84">
        <v>44105</v>
      </c>
      <c r="C13" s="44">
        <f>SUMIFS('Raw Data'!$I$5:$I$500,'Raw Data'!$F$5:$F$500,"&gt;="&amp;$B13,'Raw Data'!$F$5:$F$500,"&lt;="&amp;EOMONTH($B13,0))</f>
        <v>400205.77999999991</v>
      </c>
      <c r="D13" s="56">
        <f>COUNTIFS('Raw Data'!$F$5:$F$500,"&gt;="&amp;$B13,'Raw Data'!$F$5:$F$500,"&lt;="&amp;EOMONTH($B13,0))</f>
        <v>27</v>
      </c>
      <c r="E13" s="45">
        <f>SUMIFS('Raw Data'!$I$5:$I$500,'Raw Data'!$F$5:$F$500,"&gt;="&amp;$B13,'Raw Data'!$F$5:$F$500,"&lt;="&amp;EOMONTH($B13,0))/COUNTIFS('Raw Data'!$F$5:$F$500,"&gt;="&amp;$B13,'Raw Data'!$F$5:$F$500,"&lt;="&amp;EOMONTH($B13,0))</f>
        <v>14822.436296296293</v>
      </c>
      <c r="F13" s="88">
        <f>SUMIFS('Raw Data'!$K$5:$K$500,'Raw Data'!$F$5:$F$500,"&gt;="&amp;$B13,'Raw Data'!$F$5:$F$500,"&lt;="&amp;EOMONTH($B13,0))/COUNTIFS('Raw Data'!$F$5:$F$500,"&gt;="&amp;$B13,'Raw Data'!$F$5:$F$500,"&lt;="&amp;EOMONTH($B13,0))</f>
        <v>0.44508207037061825</v>
      </c>
      <c r="G13" s="74"/>
      <c r="H13" s="73"/>
      <c r="I13" s="73"/>
      <c r="J13" s="73"/>
      <c r="Q13" s="6"/>
    </row>
    <row r="14" spans="1:17" x14ac:dyDescent="0.25">
      <c r="A14" s="50"/>
      <c r="B14" s="85">
        <v>44136</v>
      </c>
      <c r="C14" s="44">
        <f>SUMIFS('Raw Data'!$I$5:$I$500,'Raw Data'!$F$5:$F$500,"&gt;="&amp;$B14,'Raw Data'!$F$5:$F$500,"&lt;="&amp;EOMONTH($B14,0))</f>
        <v>278153.82</v>
      </c>
      <c r="D14" s="56">
        <f>COUNTIFS('Raw Data'!$F$5:$F$500,"&gt;="&amp;$B14,'Raw Data'!$F$5:$F$500,"&lt;="&amp;EOMONTH($B14,0))</f>
        <v>13</v>
      </c>
      <c r="E14" s="45">
        <f>SUMIFS('Raw Data'!$I$5:$I$500,'Raw Data'!$F$5:$F$500,"&gt;="&amp;$B14,'Raw Data'!$F$5:$F$500,"&lt;="&amp;EOMONTH($B14,0))/COUNTIFS('Raw Data'!$F$5:$F$500,"&gt;="&amp;$B14,'Raw Data'!$F$5:$F$500,"&lt;="&amp;EOMONTH($B14,0))</f>
        <v>21396.447692307695</v>
      </c>
      <c r="F14" s="88">
        <f>SUMIFS('Raw Data'!$K$5:$K$500,'Raw Data'!$F$5:$F$500,"&gt;="&amp;$B14,'Raw Data'!$F$5:$F$500,"&lt;="&amp;EOMONTH($B14,0))/COUNTIFS('Raw Data'!$F$5:$F$500,"&gt;="&amp;$B14,'Raw Data'!$F$5:$F$500,"&lt;="&amp;EOMONTH($B14,0))</f>
        <v>0.49768538453136818</v>
      </c>
      <c r="G14" s="74"/>
      <c r="H14" s="73"/>
      <c r="I14" s="73"/>
      <c r="J14" s="73"/>
    </row>
    <row r="15" spans="1:17" ht="15.75" thickBot="1" x14ac:dyDescent="0.3">
      <c r="A15" s="50"/>
      <c r="B15" s="87">
        <v>44166</v>
      </c>
      <c r="C15" s="75">
        <f>SUMIFS('Raw Data'!$I$5:$I$500,'Raw Data'!$F$5:$F$500,"&gt;="&amp;$B15,'Raw Data'!$F$5:$F$500,"&lt;="&amp;EOMONTH($B15,0))</f>
        <v>110451.16</v>
      </c>
      <c r="D15" s="56">
        <f>COUNTIFS('Raw Data'!$F$5:$F$500,"&gt;="&amp;$B15,'Raw Data'!$F$5:$F$500,"&lt;="&amp;EOMONTH($B15,0))</f>
        <v>11</v>
      </c>
      <c r="E15" s="45">
        <f>SUMIFS('Raw Data'!$I$5:$I$500,'Raw Data'!$F$5:$F$500,"&gt;="&amp;$B15,'Raw Data'!$F$5:$F$500,"&lt;="&amp;EOMONTH($B15,0))/COUNTIFS('Raw Data'!$F$5:$F$500,"&gt;="&amp;$B15,'Raw Data'!$F$5:$F$500,"&lt;="&amp;EOMONTH($B15,0))</f>
        <v>10041.014545454545</v>
      </c>
      <c r="F15" s="88">
        <f>SUMIFS('Raw Data'!$K$5:$K$500,'Raw Data'!$F$5:$F$500,"&gt;="&amp;$B15,'Raw Data'!$F$5:$F$500,"&lt;="&amp;EOMONTH($B15,0))/COUNTIFS('Raw Data'!$F$5:$F$500,"&gt;="&amp;$B15,'Raw Data'!$F$5:$F$500,"&lt;="&amp;EOMONTH($B15,0))</f>
        <v>0.46162433697169369</v>
      </c>
      <c r="G15" s="74"/>
      <c r="H15" s="73"/>
      <c r="I15" s="73"/>
      <c r="J15" s="73"/>
    </row>
    <row r="16" spans="1:17" ht="15.75" customHeight="1" x14ac:dyDescent="0.25">
      <c r="B16" s="136"/>
      <c r="C16" s="150">
        <f>SUM(C4:C15)</f>
        <v>3950258.57</v>
      </c>
      <c r="D16" s="154">
        <f>SUM(D4:D15)</f>
        <v>273</v>
      </c>
      <c r="E16" s="150">
        <f>C16/D16</f>
        <v>14469.81161172161</v>
      </c>
      <c r="F16" s="159">
        <f>'Raw Data'!K3</f>
        <v>0.51615971812194594</v>
      </c>
      <c r="G16" s="158"/>
      <c r="H16" s="156"/>
      <c r="I16" s="156"/>
      <c r="J16" s="156"/>
    </row>
    <row r="17" spans="2:23" ht="15.75" customHeight="1" thickBot="1" x14ac:dyDescent="0.3">
      <c r="B17" s="137"/>
      <c r="C17" s="151"/>
      <c r="D17" s="155"/>
      <c r="E17" s="151"/>
      <c r="F17" s="160"/>
      <c r="G17" s="158"/>
      <c r="H17" s="156"/>
      <c r="I17" s="156"/>
      <c r="J17" s="156"/>
    </row>
    <row r="18" spans="2:23" ht="15.75" thickBot="1" x14ac:dyDescent="0.3">
      <c r="B18" s="46"/>
      <c r="C18" s="47"/>
      <c r="D18" s="47"/>
      <c r="E18" s="47"/>
      <c r="F18" s="47"/>
      <c r="G18" s="47"/>
      <c r="H18" s="47"/>
      <c r="I18" s="47"/>
      <c r="J18" s="47"/>
    </row>
    <row r="19" spans="2:23" x14ac:dyDescent="0.25">
      <c r="B19" s="58"/>
      <c r="C19" s="59"/>
      <c r="D19" s="59"/>
      <c r="E19" s="59"/>
      <c r="F19" s="59"/>
      <c r="G19" s="59"/>
      <c r="H19" s="59"/>
      <c r="I19" s="59"/>
      <c r="J19" s="59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1"/>
    </row>
    <row r="20" spans="2:23" x14ac:dyDescent="0.25">
      <c r="B20" s="62"/>
      <c r="C20" s="48"/>
      <c r="D20" s="48"/>
      <c r="E20" s="48"/>
      <c r="F20" s="48"/>
      <c r="G20" s="48"/>
      <c r="H20" s="48"/>
      <c r="I20" s="48"/>
      <c r="J20" s="48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4"/>
    </row>
    <row r="21" spans="2:23" x14ac:dyDescent="0.25">
      <c r="B21" s="62"/>
      <c r="C21" s="48"/>
      <c r="D21" s="48"/>
      <c r="E21" s="48"/>
      <c r="F21" s="48"/>
      <c r="G21" s="48"/>
      <c r="H21" s="48"/>
      <c r="I21" s="48"/>
      <c r="J21" s="48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4"/>
    </row>
    <row r="22" spans="2:23" x14ac:dyDescent="0.25">
      <c r="B22" s="62"/>
      <c r="C22" s="48"/>
      <c r="D22" s="48"/>
      <c r="E22" s="48"/>
      <c r="F22" s="48"/>
      <c r="G22" s="48"/>
      <c r="H22" s="48"/>
      <c r="I22" s="48"/>
      <c r="J22" s="48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4"/>
    </row>
    <row r="23" spans="2:23" x14ac:dyDescent="0.25">
      <c r="B23" s="62"/>
      <c r="C23" s="48"/>
      <c r="D23" s="48"/>
      <c r="E23" s="48"/>
      <c r="F23" s="48"/>
      <c r="G23" s="48"/>
      <c r="H23" s="48"/>
      <c r="I23" s="48"/>
      <c r="J23" s="48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4"/>
    </row>
    <row r="24" spans="2:23" x14ac:dyDescent="0.25">
      <c r="B24" s="62"/>
      <c r="C24" s="48"/>
      <c r="D24" s="48"/>
      <c r="E24" s="48"/>
      <c r="F24" s="48"/>
      <c r="G24" s="48"/>
      <c r="H24" s="48"/>
      <c r="I24" s="48"/>
      <c r="J24" s="48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4"/>
    </row>
    <row r="25" spans="2:23" x14ac:dyDescent="0.25">
      <c r="B25" s="62"/>
      <c r="C25" s="48"/>
      <c r="D25" s="48"/>
      <c r="E25" s="48"/>
      <c r="F25" s="48"/>
      <c r="G25" s="48"/>
      <c r="H25" s="48"/>
      <c r="I25" s="48"/>
      <c r="J25" s="48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4"/>
    </row>
    <row r="26" spans="2:23" x14ac:dyDescent="0.25">
      <c r="B26" s="62"/>
      <c r="C26" s="48"/>
      <c r="D26" s="48"/>
      <c r="E26" s="48"/>
      <c r="F26" s="48"/>
      <c r="G26" s="48"/>
      <c r="H26" s="48"/>
      <c r="I26" s="48"/>
      <c r="J26" s="48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4"/>
    </row>
    <row r="27" spans="2:23" x14ac:dyDescent="0.25">
      <c r="B27" s="62"/>
      <c r="C27" s="48"/>
      <c r="D27" s="48"/>
      <c r="E27" s="48"/>
      <c r="F27" s="48"/>
      <c r="G27" s="48"/>
      <c r="H27" s="48"/>
      <c r="I27" s="48"/>
      <c r="J27" s="48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4"/>
    </row>
    <row r="28" spans="2:23" x14ac:dyDescent="0.25">
      <c r="B28" s="62"/>
      <c r="C28" s="48"/>
      <c r="D28" s="48"/>
      <c r="E28" s="48"/>
      <c r="F28" s="48"/>
      <c r="G28" s="48"/>
      <c r="H28" s="48"/>
      <c r="I28" s="48"/>
      <c r="J28" s="48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4"/>
    </row>
    <row r="29" spans="2:23" x14ac:dyDescent="0.25">
      <c r="B29" s="62"/>
      <c r="C29" s="48"/>
      <c r="D29" s="48"/>
      <c r="E29" s="48"/>
      <c r="F29" s="48"/>
      <c r="G29" s="48"/>
      <c r="H29" s="48"/>
      <c r="I29" s="48"/>
      <c r="J29" s="48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4"/>
    </row>
    <row r="30" spans="2:23" x14ac:dyDescent="0.25">
      <c r="B30" s="62"/>
      <c r="C30" s="48"/>
      <c r="D30" s="48"/>
      <c r="E30" s="48"/>
      <c r="F30" s="48"/>
      <c r="G30" s="48"/>
      <c r="H30" s="48"/>
      <c r="I30" s="48"/>
      <c r="J30" s="48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4"/>
    </row>
    <row r="31" spans="2:23" x14ac:dyDescent="0.25">
      <c r="B31" s="62"/>
      <c r="C31" s="48"/>
      <c r="D31" s="48"/>
      <c r="E31" s="48"/>
      <c r="F31" s="48"/>
      <c r="G31" s="48"/>
      <c r="H31" s="48"/>
      <c r="I31" s="48"/>
      <c r="J31" s="48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4"/>
    </row>
    <row r="32" spans="2:23" x14ac:dyDescent="0.25">
      <c r="B32" s="62"/>
      <c r="C32" s="48"/>
      <c r="D32" s="48"/>
      <c r="E32" s="48"/>
      <c r="F32" s="48"/>
      <c r="G32" s="48"/>
      <c r="H32" s="48"/>
      <c r="I32" s="48"/>
      <c r="J32" s="48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4"/>
    </row>
    <row r="33" spans="2:23" x14ac:dyDescent="0.25">
      <c r="B33" s="62"/>
      <c r="C33" s="48"/>
      <c r="D33" s="48"/>
      <c r="E33" s="48"/>
      <c r="F33" s="48"/>
      <c r="G33" s="48"/>
      <c r="H33" s="48"/>
      <c r="I33" s="48"/>
      <c r="J33" s="48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4"/>
    </row>
    <row r="34" spans="2:23" x14ac:dyDescent="0.25">
      <c r="B34" s="62"/>
      <c r="C34" s="48"/>
      <c r="D34" s="48"/>
      <c r="E34" s="48"/>
      <c r="F34" s="48"/>
      <c r="G34" s="48"/>
      <c r="H34" s="48"/>
      <c r="I34" s="48"/>
      <c r="J34" s="48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4"/>
    </row>
    <row r="35" spans="2:23" x14ac:dyDescent="0.25">
      <c r="B35" s="62"/>
      <c r="C35" s="48"/>
      <c r="D35" s="48"/>
      <c r="E35" s="48"/>
      <c r="F35" s="48"/>
      <c r="G35" s="48"/>
      <c r="H35" s="48"/>
      <c r="I35" s="48"/>
      <c r="J35" s="48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4"/>
    </row>
    <row r="36" spans="2:23" x14ac:dyDescent="0.25">
      <c r="B36" s="62"/>
      <c r="C36" s="48"/>
      <c r="D36" s="48"/>
      <c r="E36" s="48"/>
      <c r="F36" s="48"/>
      <c r="G36" s="48"/>
      <c r="H36" s="48"/>
      <c r="I36" s="48"/>
      <c r="J36" s="48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4"/>
    </row>
    <row r="37" spans="2:23" x14ac:dyDescent="0.25">
      <c r="B37" s="62"/>
      <c r="C37" s="48"/>
      <c r="D37" s="48"/>
      <c r="E37" s="48"/>
      <c r="F37" s="48"/>
      <c r="G37" s="48"/>
      <c r="H37" s="48"/>
      <c r="I37" s="48"/>
      <c r="J37" s="48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4"/>
    </row>
    <row r="38" spans="2:23" x14ac:dyDescent="0.25">
      <c r="B38" s="65"/>
      <c r="C38" s="47"/>
      <c r="D38" s="47"/>
      <c r="E38" s="47"/>
      <c r="F38" s="47"/>
      <c r="G38" s="47"/>
      <c r="H38" s="47"/>
      <c r="I38" s="47"/>
      <c r="J38" s="47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4"/>
    </row>
    <row r="39" spans="2:23" x14ac:dyDescent="0.25">
      <c r="B39" s="65"/>
      <c r="C39" s="47"/>
      <c r="D39" s="47"/>
      <c r="E39" s="47"/>
      <c r="F39" s="47"/>
      <c r="G39" s="47"/>
      <c r="H39" s="47"/>
      <c r="I39" s="47"/>
      <c r="J39" s="47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4"/>
    </row>
    <row r="40" spans="2:23" x14ac:dyDescent="0.25">
      <c r="B40" s="65"/>
      <c r="C40" s="47"/>
      <c r="D40" s="47"/>
      <c r="E40" s="47"/>
      <c r="F40" s="47"/>
      <c r="G40" s="47"/>
      <c r="H40" s="47"/>
      <c r="I40" s="47"/>
      <c r="J40" s="47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4"/>
    </row>
    <row r="41" spans="2:23" x14ac:dyDescent="0.25">
      <c r="B41" s="65"/>
      <c r="C41" s="47"/>
      <c r="D41" s="47"/>
      <c r="E41" s="47"/>
      <c r="F41" s="47"/>
      <c r="G41" s="47"/>
      <c r="H41" s="47"/>
      <c r="I41" s="47"/>
      <c r="J41" s="47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4"/>
    </row>
    <row r="42" spans="2:23" x14ac:dyDescent="0.25">
      <c r="B42" s="65"/>
      <c r="C42" s="47"/>
      <c r="D42" s="47"/>
      <c r="E42" s="47"/>
      <c r="F42" s="47"/>
      <c r="G42" s="47"/>
      <c r="H42" s="47"/>
      <c r="I42" s="47"/>
      <c r="J42" s="47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4"/>
    </row>
    <row r="43" spans="2:23" x14ac:dyDescent="0.25">
      <c r="B43" s="65"/>
      <c r="C43" s="47"/>
      <c r="D43" s="47"/>
      <c r="E43" s="47"/>
      <c r="F43" s="47"/>
      <c r="G43" s="47"/>
      <c r="H43" s="47"/>
      <c r="I43" s="47"/>
      <c r="J43" s="47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4"/>
    </row>
    <row r="44" spans="2:23" x14ac:dyDescent="0.25">
      <c r="B44" s="65"/>
      <c r="C44" s="47"/>
      <c r="D44" s="47"/>
      <c r="E44" s="47"/>
      <c r="F44" s="47"/>
      <c r="G44" s="47"/>
      <c r="H44" s="47"/>
      <c r="I44" s="47"/>
      <c r="J44" s="47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4"/>
    </row>
    <row r="45" spans="2:23" x14ac:dyDescent="0.25">
      <c r="B45" s="65"/>
      <c r="C45" s="47"/>
      <c r="D45" s="47"/>
      <c r="E45" s="47"/>
      <c r="F45" s="47"/>
      <c r="G45" s="47"/>
      <c r="H45" s="47"/>
      <c r="I45" s="47"/>
      <c r="J45" s="47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4"/>
    </row>
    <row r="46" spans="2:23" x14ac:dyDescent="0.25">
      <c r="B46" s="65"/>
      <c r="C46" s="47"/>
      <c r="D46" s="47"/>
      <c r="E46" s="47"/>
      <c r="F46" s="47"/>
      <c r="G46" s="47"/>
      <c r="H46" s="47"/>
      <c r="I46" s="47"/>
      <c r="J46" s="47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4"/>
    </row>
    <row r="47" spans="2:23" x14ac:dyDescent="0.25">
      <c r="B47" s="65"/>
      <c r="C47" s="47"/>
      <c r="D47" s="47"/>
      <c r="E47" s="47"/>
      <c r="F47" s="47"/>
      <c r="G47" s="47"/>
      <c r="H47" s="47"/>
      <c r="I47" s="47"/>
      <c r="J47" s="47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/>
    </row>
    <row r="48" spans="2:23" x14ac:dyDescent="0.25">
      <c r="B48" s="65"/>
      <c r="C48" s="47"/>
      <c r="D48" s="47"/>
      <c r="E48" s="47"/>
      <c r="F48" s="47"/>
      <c r="G48" s="47"/>
      <c r="H48" s="47"/>
      <c r="I48" s="47"/>
      <c r="J48" s="47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4"/>
    </row>
    <row r="49" spans="2:23" ht="15.75" thickBot="1" x14ac:dyDescent="0.3">
      <c r="B49" s="66"/>
      <c r="C49" s="67"/>
      <c r="D49" s="67"/>
      <c r="E49" s="67"/>
      <c r="F49" s="67"/>
      <c r="G49" s="67"/>
      <c r="H49" s="67"/>
      <c r="I49" s="67"/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9"/>
    </row>
    <row r="50" spans="2:23" ht="15.75" thickBot="1" x14ac:dyDescent="0.3"/>
    <row r="51" spans="2:23" x14ac:dyDescent="0.25">
      <c r="B51" s="70"/>
      <c r="C51" s="71"/>
      <c r="D51" s="71"/>
      <c r="E51" s="71"/>
      <c r="F51" s="71"/>
      <c r="G51" s="71"/>
      <c r="H51" s="71"/>
      <c r="I51" s="71"/>
      <c r="J51" s="71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1"/>
    </row>
    <row r="52" spans="2:23" x14ac:dyDescent="0.25">
      <c r="B52" s="65"/>
      <c r="C52" s="47"/>
      <c r="D52" s="47"/>
      <c r="E52" s="47"/>
      <c r="F52" s="47"/>
      <c r="G52" s="47"/>
      <c r="H52" s="47"/>
      <c r="I52" s="47"/>
      <c r="J52" s="47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4"/>
    </row>
    <row r="53" spans="2:23" x14ac:dyDescent="0.25">
      <c r="B53" s="65"/>
      <c r="C53" s="47"/>
      <c r="D53" s="47"/>
      <c r="E53" s="47"/>
      <c r="F53" s="47"/>
      <c r="G53" s="47"/>
      <c r="H53" s="47"/>
      <c r="I53" s="47"/>
      <c r="J53" s="47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4"/>
    </row>
    <row r="54" spans="2:23" x14ac:dyDescent="0.25">
      <c r="B54" s="65"/>
      <c r="C54" s="47"/>
      <c r="D54" s="47"/>
      <c r="E54" s="47"/>
      <c r="F54" s="47"/>
      <c r="G54" s="47"/>
      <c r="H54" s="47"/>
      <c r="I54" s="47"/>
      <c r="J54" s="4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4"/>
    </row>
    <row r="55" spans="2:23" x14ac:dyDescent="0.25">
      <c r="B55" s="65"/>
      <c r="C55" s="47"/>
      <c r="D55" s="47"/>
      <c r="E55" s="47"/>
      <c r="F55" s="47"/>
      <c r="G55" s="47"/>
      <c r="H55" s="47"/>
      <c r="I55" s="47"/>
      <c r="J55" s="47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4"/>
    </row>
    <row r="56" spans="2:23" x14ac:dyDescent="0.25">
      <c r="B56" s="65"/>
      <c r="C56" s="47"/>
      <c r="D56" s="47"/>
      <c r="E56" s="47"/>
      <c r="F56" s="47"/>
      <c r="G56" s="47"/>
      <c r="H56" s="47"/>
      <c r="I56" s="47"/>
      <c r="J56" s="47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4"/>
    </row>
    <row r="57" spans="2:23" x14ac:dyDescent="0.25">
      <c r="B57" s="65"/>
      <c r="C57" s="47"/>
      <c r="D57" s="47"/>
      <c r="E57" s="47"/>
      <c r="F57" s="47"/>
      <c r="G57" s="47"/>
      <c r="H57" s="47"/>
      <c r="I57" s="47"/>
      <c r="J57" s="47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4"/>
    </row>
    <row r="58" spans="2:23" x14ac:dyDescent="0.25">
      <c r="B58" s="65"/>
      <c r="C58" s="47"/>
      <c r="D58" s="47"/>
      <c r="E58" s="47"/>
      <c r="F58" s="47"/>
      <c r="G58" s="47"/>
      <c r="H58" s="47"/>
      <c r="I58" s="47"/>
      <c r="J58" s="47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4"/>
    </row>
    <row r="59" spans="2:23" x14ac:dyDescent="0.25">
      <c r="B59" s="65"/>
      <c r="C59" s="47"/>
      <c r="D59" s="47"/>
      <c r="E59" s="47"/>
      <c r="F59" s="47"/>
      <c r="G59" s="47"/>
      <c r="H59" s="47"/>
      <c r="I59" s="47"/>
      <c r="J59" s="47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4"/>
    </row>
    <row r="60" spans="2:23" x14ac:dyDescent="0.25">
      <c r="B60" s="65"/>
      <c r="C60" s="47"/>
      <c r="D60" s="47"/>
      <c r="E60" s="47"/>
      <c r="F60" s="47"/>
      <c r="G60" s="47"/>
      <c r="H60" s="47"/>
      <c r="I60" s="47"/>
      <c r="J60" s="47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4"/>
    </row>
    <row r="61" spans="2:23" x14ac:dyDescent="0.25">
      <c r="B61" s="65"/>
      <c r="C61" s="47"/>
      <c r="D61" s="47"/>
      <c r="E61" s="47"/>
      <c r="F61" s="47"/>
      <c r="G61" s="47"/>
      <c r="H61" s="47"/>
      <c r="I61" s="47"/>
      <c r="J61" s="47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4"/>
    </row>
    <row r="62" spans="2:23" x14ac:dyDescent="0.25">
      <c r="B62" s="65"/>
      <c r="C62" s="47"/>
      <c r="D62" s="47"/>
      <c r="E62" s="47"/>
      <c r="F62" s="47"/>
      <c r="G62" s="47"/>
      <c r="H62" s="47"/>
      <c r="I62" s="47"/>
      <c r="J62" s="47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4"/>
    </row>
    <row r="63" spans="2:23" x14ac:dyDescent="0.25">
      <c r="B63" s="65"/>
      <c r="C63" s="47"/>
      <c r="D63" s="47"/>
      <c r="E63" s="47"/>
      <c r="F63" s="47"/>
      <c r="G63" s="47"/>
      <c r="H63" s="47"/>
      <c r="I63" s="47"/>
      <c r="J63" s="47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4"/>
    </row>
    <row r="64" spans="2:23" x14ac:dyDescent="0.25">
      <c r="B64" s="65"/>
      <c r="C64" s="47"/>
      <c r="D64" s="47"/>
      <c r="E64" s="47"/>
      <c r="F64" s="47"/>
      <c r="G64" s="47"/>
      <c r="H64" s="47"/>
      <c r="I64" s="47"/>
      <c r="J64" s="47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4"/>
    </row>
    <row r="65" spans="2:23" x14ac:dyDescent="0.25">
      <c r="B65" s="65"/>
      <c r="C65" s="47"/>
      <c r="D65" s="47"/>
      <c r="E65" s="47"/>
      <c r="F65" s="47"/>
      <c r="G65" s="47"/>
      <c r="H65" s="47"/>
      <c r="I65" s="47"/>
      <c r="J65" s="47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4"/>
    </row>
    <row r="66" spans="2:23" x14ac:dyDescent="0.25">
      <c r="B66" s="65"/>
      <c r="C66" s="47"/>
      <c r="D66" s="47"/>
      <c r="E66" s="47"/>
      <c r="F66" s="47"/>
      <c r="G66" s="47"/>
      <c r="H66" s="47"/>
      <c r="I66" s="47"/>
      <c r="J66" s="47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4"/>
    </row>
    <row r="67" spans="2:23" x14ac:dyDescent="0.25">
      <c r="B67" s="65"/>
      <c r="C67" s="47"/>
      <c r="D67" s="47"/>
      <c r="E67" s="47"/>
      <c r="F67" s="47"/>
      <c r="G67" s="47"/>
      <c r="H67" s="47"/>
      <c r="I67" s="47"/>
      <c r="J67" s="47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4"/>
    </row>
    <row r="68" spans="2:23" x14ac:dyDescent="0.25">
      <c r="B68" s="65"/>
      <c r="C68" s="47"/>
      <c r="D68" s="47"/>
      <c r="E68" s="47"/>
      <c r="F68" s="47"/>
      <c r="G68" s="47"/>
      <c r="H68" s="47"/>
      <c r="I68" s="47"/>
      <c r="J68" s="47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4"/>
    </row>
    <row r="69" spans="2:23" x14ac:dyDescent="0.25">
      <c r="B69" s="65"/>
      <c r="C69" s="47"/>
      <c r="D69" s="47"/>
      <c r="E69" s="47"/>
      <c r="F69" s="47"/>
      <c r="G69" s="47"/>
      <c r="H69" s="47"/>
      <c r="I69" s="47"/>
      <c r="J69" s="47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4"/>
    </row>
    <row r="70" spans="2:23" x14ac:dyDescent="0.25">
      <c r="B70" s="65"/>
      <c r="C70" s="47"/>
      <c r="D70" s="47"/>
      <c r="E70" s="47"/>
      <c r="F70" s="47"/>
      <c r="G70" s="47"/>
      <c r="H70" s="47"/>
      <c r="I70" s="47"/>
      <c r="J70" s="47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4"/>
    </row>
    <row r="71" spans="2:23" x14ac:dyDescent="0.25">
      <c r="B71" s="65"/>
      <c r="C71" s="47"/>
      <c r="D71" s="47"/>
      <c r="E71" s="47"/>
      <c r="F71" s="47"/>
      <c r="G71" s="47"/>
      <c r="H71" s="47"/>
      <c r="I71" s="47"/>
      <c r="J71" s="47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4"/>
    </row>
    <row r="72" spans="2:23" x14ac:dyDescent="0.25">
      <c r="B72" s="65"/>
      <c r="C72" s="47"/>
      <c r="D72" s="47"/>
      <c r="E72" s="47"/>
      <c r="F72" s="47"/>
      <c r="G72" s="47"/>
      <c r="H72" s="47"/>
      <c r="I72" s="47"/>
      <c r="J72" s="47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4"/>
    </row>
    <row r="73" spans="2:23" x14ac:dyDescent="0.25">
      <c r="B73" s="65"/>
      <c r="C73" s="47"/>
      <c r="D73" s="47"/>
      <c r="E73" s="47"/>
      <c r="F73" s="47"/>
      <c r="G73" s="47"/>
      <c r="H73" s="47"/>
      <c r="I73" s="47"/>
      <c r="J73" s="47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4"/>
    </row>
    <row r="74" spans="2:23" x14ac:dyDescent="0.25">
      <c r="B74" s="65"/>
      <c r="C74" s="47"/>
      <c r="D74" s="47"/>
      <c r="E74" s="47"/>
      <c r="F74" s="47"/>
      <c r="G74" s="47"/>
      <c r="H74" s="47"/>
      <c r="I74" s="47"/>
      <c r="J74" s="47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4"/>
    </row>
    <row r="75" spans="2:23" x14ac:dyDescent="0.25">
      <c r="B75" s="65"/>
      <c r="C75" s="47"/>
      <c r="D75" s="47"/>
      <c r="E75" s="47"/>
      <c r="F75" s="47"/>
      <c r="G75" s="47"/>
      <c r="H75" s="47"/>
      <c r="I75" s="47"/>
      <c r="J75" s="47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4"/>
    </row>
    <row r="76" spans="2:23" x14ac:dyDescent="0.25">
      <c r="B76" s="65"/>
      <c r="C76" s="47"/>
      <c r="D76" s="47"/>
      <c r="E76" s="47"/>
      <c r="F76" s="47"/>
      <c r="G76" s="47"/>
      <c r="H76" s="47"/>
      <c r="I76" s="47"/>
      <c r="J76" s="47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4"/>
    </row>
    <row r="77" spans="2:23" x14ac:dyDescent="0.25">
      <c r="B77" s="65"/>
      <c r="C77" s="47"/>
      <c r="D77" s="47"/>
      <c r="E77" s="47"/>
      <c r="F77" s="47"/>
      <c r="G77" s="47"/>
      <c r="H77" s="47"/>
      <c r="I77" s="47"/>
      <c r="J77" s="47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4"/>
    </row>
    <row r="78" spans="2:23" x14ac:dyDescent="0.25">
      <c r="B78" s="65"/>
      <c r="C78" s="47"/>
      <c r="D78" s="47"/>
      <c r="E78" s="47"/>
      <c r="F78" s="47"/>
      <c r="G78" s="47"/>
      <c r="H78" s="47"/>
      <c r="I78" s="47"/>
      <c r="J78" s="47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4"/>
    </row>
    <row r="79" spans="2:23" x14ac:dyDescent="0.25">
      <c r="B79" s="65"/>
      <c r="C79" s="47"/>
      <c r="D79" s="47"/>
      <c r="E79" s="47"/>
      <c r="F79" s="47"/>
      <c r="G79" s="47"/>
      <c r="H79" s="47"/>
      <c r="I79" s="47"/>
      <c r="J79" s="47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4"/>
    </row>
    <row r="80" spans="2:23" x14ac:dyDescent="0.25">
      <c r="B80" s="65"/>
      <c r="C80" s="47"/>
      <c r="D80" s="47"/>
      <c r="E80" s="47"/>
      <c r="F80" s="47"/>
      <c r="G80" s="47"/>
      <c r="H80" s="47"/>
      <c r="I80" s="47"/>
      <c r="J80" s="47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4"/>
    </row>
    <row r="81" spans="2:23" ht="15.75" thickBot="1" x14ac:dyDescent="0.3">
      <c r="B81" s="66"/>
      <c r="C81" s="67"/>
      <c r="D81" s="67"/>
      <c r="E81" s="67"/>
      <c r="F81" s="67"/>
      <c r="G81" s="67"/>
      <c r="H81" s="67"/>
      <c r="I81" s="67"/>
      <c r="J81" s="67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9"/>
    </row>
    <row r="82" spans="2:23" ht="15.75" thickBot="1" x14ac:dyDescent="0.3"/>
    <row r="83" spans="2:23" x14ac:dyDescent="0.25">
      <c r="B83" s="70"/>
      <c r="C83" s="71"/>
      <c r="D83" s="71"/>
      <c r="E83" s="71"/>
      <c r="F83" s="71"/>
      <c r="G83" s="71"/>
      <c r="H83" s="71"/>
      <c r="I83" s="71"/>
      <c r="J83" s="71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1"/>
    </row>
    <row r="84" spans="2:23" x14ac:dyDescent="0.25">
      <c r="B84" s="65"/>
      <c r="C84" s="47"/>
      <c r="D84" s="47"/>
      <c r="E84" s="47"/>
      <c r="F84" s="47"/>
      <c r="G84" s="47"/>
      <c r="H84" s="47"/>
      <c r="I84" s="47"/>
      <c r="J84" s="47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4"/>
    </row>
    <row r="85" spans="2:23" x14ac:dyDescent="0.25">
      <c r="B85" s="65"/>
      <c r="C85" s="47"/>
      <c r="D85" s="47"/>
      <c r="E85" s="47"/>
      <c r="F85" s="47"/>
      <c r="G85" s="47"/>
      <c r="H85" s="47"/>
      <c r="I85" s="47"/>
      <c r="J85" s="47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4"/>
    </row>
    <row r="86" spans="2:23" x14ac:dyDescent="0.25">
      <c r="B86" s="65"/>
      <c r="C86" s="47"/>
      <c r="D86" s="47"/>
      <c r="E86" s="47"/>
      <c r="F86" s="47"/>
      <c r="G86" s="47"/>
      <c r="H86" s="47"/>
      <c r="I86" s="47"/>
      <c r="J86" s="47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4"/>
    </row>
    <row r="87" spans="2:23" x14ac:dyDescent="0.25">
      <c r="B87" s="65"/>
      <c r="C87" s="47"/>
      <c r="D87" s="47"/>
      <c r="E87" s="47"/>
      <c r="F87" s="47"/>
      <c r="G87" s="47"/>
      <c r="H87" s="47"/>
      <c r="I87" s="47"/>
      <c r="J87" s="47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4"/>
    </row>
    <row r="88" spans="2:23" x14ac:dyDescent="0.25">
      <c r="B88" s="65"/>
      <c r="C88" s="47"/>
      <c r="D88" s="47"/>
      <c r="E88" s="47"/>
      <c r="F88" s="47"/>
      <c r="G88" s="47"/>
      <c r="H88" s="47"/>
      <c r="I88" s="47"/>
      <c r="J88" s="47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4"/>
    </row>
    <row r="89" spans="2:23" x14ac:dyDescent="0.25">
      <c r="B89" s="65"/>
      <c r="C89" s="47"/>
      <c r="D89" s="47"/>
      <c r="E89" s="47"/>
      <c r="F89" s="47"/>
      <c r="G89" s="47"/>
      <c r="H89" s="47"/>
      <c r="I89" s="47"/>
      <c r="J89" s="47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4"/>
    </row>
    <row r="90" spans="2:23" x14ac:dyDescent="0.25">
      <c r="B90" s="65"/>
      <c r="C90" s="47"/>
      <c r="D90" s="47"/>
      <c r="E90" s="47"/>
      <c r="F90" s="47"/>
      <c r="G90" s="47"/>
      <c r="H90" s="47"/>
      <c r="I90" s="47"/>
      <c r="J90" s="47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4"/>
    </row>
    <row r="91" spans="2:23" x14ac:dyDescent="0.25">
      <c r="B91" s="65"/>
      <c r="C91" s="47"/>
      <c r="D91" s="47"/>
      <c r="E91" s="47"/>
      <c r="F91" s="47"/>
      <c r="G91" s="47"/>
      <c r="H91" s="47"/>
      <c r="I91" s="47"/>
      <c r="J91" s="47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4"/>
    </row>
    <row r="92" spans="2:23" x14ac:dyDescent="0.25">
      <c r="B92" s="65"/>
      <c r="C92" s="47"/>
      <c r="D92" s="47"/>
      <c r="E92" s="47"/>
      <c r="F92" s="47"/>
      <c r="G92" s="47"/>
      <c r="H92" s="47"/>
      <c r="I92" s="47"/>
      <c r="J92" s="47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4"/>
    </row>
    <row r="93" spans="2:23" x14ac:dyDescent="0.25">
      <c r="B93" s="65"/>
      <c r="C93" s="47"/>
      <c r="D93" s="47"/>
      <c r="E93" s="47"/>
      <c r="F93" s="47"/>
      <c r="G93" s="47"/>
      <c r="H93" s="47"/>
      <c r="I93" s="47"/>
      <c r="J93" s="47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4"/>
    </row>
    <row r="94" spans="2:23" x14ac:dyDescent="0.25">
      <c r="B94" s="65"/>
      <c r="C94" s="47"/>
      <c r="D94" s="47"/>
      <c r="E94" s="47"/>
      <c r="F94" s="47"/>
      <c r="G94" s="47"/>
      <c r="H94" s="47"/>
      <c r="I94" s="47"/>
      <c r="J94" s="47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4"/>
    </row>
    <row r="95" spans="2:23" x14ac:dyDescent="0.25">
      <c r="B95" s="65"/>
      <c r="C95" s="47"/>
      <c r="D95" s="47"/>
      <c r="E95" s="47"/>
      <c r="F95" s="47"/>
      <c r="G95" s="47"/>
      <c r="H95" s="47"/>
      <c r="I95" s="47"/>
      <c r="J95" s="47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4"/>
    </row>
    <row r="96" spans="2:23" x14ac:dyDescent="0.25">
      <c r="B96" s="65"/>
      <c r="C96" s="47"/>
      <c r="D96" s="47"/>
      <c r="E96" s="47"/>
      <c r="F96" s="47"/>
      <c r="G96" s="47"/>
      <c r="H96" s="47"/>
      <c r="I96" s="47"/>
      <c r="J96" s="47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4"/>
    </row>
    <row r="97" spans="2:23" x14ac:dyDescent="0.25">
      <c r="B97" s="65"/>
      <c r="C97" s="47"/>
      <c r="D97" s="47"/>
      <c r="E97" s="47"/>
      <c r="F97" s="47"/>
      <c r="G97" s="47"/>
      <c r="H97" s="47"/>
      <c r="I97" s="47"/>
      <c r="J97" s="47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4"/>
    </row>
    <row r="98" spans="2:23" x14ac:dyDescent="0.25">
      <c r="B98" s="65"/>
      <c r="C98" s="47"/>
      <c r="D98" s="47"/>
      <c r="E98" s="47"/>
      <c r="F98" s="47"/>
      <c r="G98" s="47"/>
      <c r="H98" s="47"/>
      <c r="I98" s="47"/>
      <c r="J98" s="47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4"/>
    </row>
    <row r="99" spans="2:23" x14ac:dyDescent="0.25">
      <c r="B99" s="65"/>
      <c r="C99" s="47"/>
      <c r="D99" s="47"/>
      <c r="E99" s="47"/>
      <c r="F99" s="47"/>
      <c r="G99" s="47"/>
      <c r="H99" s="47"/>
      <c r="I99" s="47"/>
      <c r="J99" s="47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4"/>
    </row>
    <row r="100" spans="2:23" x14ac:dyDescent="0.25">
      <c r="B100" s="65"/>
      <c r="C100" s="47"/>
      <c r="D100" s="47"/>
      <c r="E100" s="47"/>
      <c r="F100" s="47"/>
      <c r="G100" s="47"/>
      <c r="H100" s="47"/>
      <c r="I100" s="47"/>
      <c r="J100" s="47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4"/>
    </row>
    <row r="101" spans="2:23" x14ac:dyDescent="0.25">
      <c r="B101" s="65"/>
      <c r="C101" s="47"/>
      <c r="D101" s="47"/>
      <c r="E101" s="47"/>
      <c r="F101" s="47"/>
      <c r="G101" s="47"/>
      <c r="H101" s="47"/>
      <c r="I101" s="47"/>
      <c r="J101" s="47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4"/>
    </row>
    <row r="102" spans="2:23" x14ac:dyDescent="0.25">
      <c r="B102" s="65"/>
      <c r="C102" s="47"/>
      <c r="D102" s="47"/>
      <c r="E102" s="47"/>
      <c r="F102" s="47"/>
      <c r="G102" s="47"/>
      <c r="H102" s="47"/>
      <c r="I102" s="47"/>
      <c r="J102" s="47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4"/>
    </row>
    <row r="103" spans="2:23" x14ac:dyDescent="0.25">
      <c r="B103" s="65"/>
      <c r="C103" s="47"/>
      <c r="D103" s="47"/>
      <c r="E103" s="47"/>
      <c r="F103" s="47"/>
      <c r="G103" s="47"/>
      <c r="H103" s="47"/>
      <c r="I103" s="47"/>
      <c r="J103" s="47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4"/>
    </row>
    <row r="104" spans="2:23" x14ac:dyDescent="0.25">
      <c r="B104" s="65"/>
      <c r="C104" s="47"/>
      <c r="D104" s="47"/>
      <c r="E104" s="47"/>
      <c r="F104" s="47"/>
      <c r="G104" s="47"/>
      <c r="H104" s="47"/>
      <c r="I104" s="47"/>
      <c r="J104" s="47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4"/>
    </row>
    <row r="105" spans="2:23" x14ac:dyDescent="0.25">
      <c r="B105" s="65"/>
      <c r="C105" s="47"/>
      <c r="D105" s="47"/>
      <c r="E105" s="47"/>
      <c r="F105" s="47"/>
      <c r="G105" s="47"/>
      <c r="H105" s="47"/>
      <c r="I105" s="47"/>
      <c r="J105" s="47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4"/>
    </row>
    <row r="106" spans="2:23" x14ac:dyDescent="0.25">
      <c r="B106" s="65"/>
      <c r="C106" s="47"/>
      <c r="D106" s="47"/>
      <c r="E106" s="47"/>
      <c r="F106" s="47"/>
      <c r="G106" s="47"/>
      <c r="H106" s="47"/>
      <c r="I106" s="47"/>
      <c r="J106" s="47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4"/>
    </row>
    <row r="107" spans="2:23" x14ac:dyDescent="0.25">
      <c r="B107" s="65"/>
      <c r="C107" s="47"/>
      <c r="D107" s="47"/>
      <c r="E107" s="47"/>
      <c r="F107" s="47"/>
      <c r="G107" s="47"/>
      <c r="H107" s="47"/>
      <c r="I107" s="47"/>
      <c r="J107" s="47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4"/>
    </row>
    <row r="108" spans="2:23" x14ac:dyDescent="0.25">
      <c r="B108" s="65"/>
      <c r="C108" s="47"/>
      <c r="D108" s="47"/>
      <c r="E108" s="47"/>
      <c r="F108" s="47"/>
      <c r="G108" s="47"/>
      <c r="H108" s="47"/>
      <c r="I108" s="47"/>
      <c r="J108" s="47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4"/>
    </row>
    <row r="109" spans="2:23" x14ac:dyDescent="0.25">
      <c r="B109" s="65"/>
      <c r="C109" s="47"/>
      <c r="D109" s="47"/>
      <c r="E109" s="47"/>
      <c r="F109" s="47"/>
      <c r="G109" s="47"/>
      <c r="H109" s="47"/>
      <c r="I109" s="47"/>
      <c r="J109" s="47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4"/>
    </row>
    <row r="110" spans="2:23" x14ac:dyDescent="0.25">
      <c r="B110" s="65"/>
      <c r="C110" s="47"/>
      <c r="D110" s="47"/>
      <c r="E110" s="47"/>
      <c r="F110" s="47"/>
      <c r="G110" s="47"/>
      <c r="H110" s="47"/>
      <c r="I110" s="47"/>
      <c r="J110" s="47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4"/>
    </row>
    <row r="111" spans="2:23" x14ac:dyDescent="0.25">
      <c r="B111" s="65"/>
      <c r="C111" s="47"/>
      <c r="D111" s="47"/>
      <c r="E111" s="47"/>
      <c r="F111" s="47"/>
      <c r="G111" s="47"/>
      <c r="H111" s="47"/>
      <c r="I111" s="47"/>
      <c r="J111" s="47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4"/>
    </row>
    <row r="112" spans="2:23" x14ac:dyDescent="0.25">
      <c r="B112" s="65"/>
      <c r="C112" s="47"/>
      <c r="D112" s="47"/>
      <c r="E112" s="47"/>
      <c r="F112" s="47"/>
      <c r="G112" s="47"/>
      <c r="H112" s="47"/>
      <c r="I112" s="47"/>
      <c r="J112" s="47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4"/>
    </row>
    <row r="113" spans="2:23" ht="15.75" thickBot="1" x14ac:dyDescent="0.3">
      <c r="B113" s="66"/>
      <c r="C113" s="67"/>
      <c r="D113" s="67"/>
      <c r="E113" s="67"/>
      <c r="F113" s="67"/>
      <c r="G113" s="67"/>
      <c r="H113" s="67"/>
      <c r="I113" s="67"/>
      <c r="J113" s="67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9"/>
    </row>
    <row r="114" spans="2:23" ht="15.75" thickBot="1" x14ac:dyDescent="0.3"/>
    <row r="115" spans="2:23" x14ac:dyDescent="0.25">
      <c r="B115" s="70"/>
      <c r="C115" s="71"/>
      <c r="D115" s="71"/>
      <c r="E115" s="71"/>
      <c r="F115" s="71"/>
      <c r="G115" s="71"/>
      <c r="H115" s="71"/>
      <c r="I115" s="71"/>
      <c r="J115" s="71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1"/>
    </row>
    <row r="116" spans="2:23" x14ac:dyDescent="0.25">
      <c r="B116" s="65"/>
      <c r="C116" s="47"/>
      <c r="D116" s="47"/>
      <c r="E116" s="47"/>
      <c r="F116" s="47"/>
      <c r="G116" s="47"/>
      <c r="H116" s="47"/>
      <c r="I116" s="47"/>
      <c r="J116" s="47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4"/>
    </row>
    <row r="117" spans="2:23" x14ac:dyDescent="0.25">
      <c r="B117" s="65"/>
      <c r="C117" s="47"/>
      <c r="D117" s="47"/>
      <c r="E117" s="47"/>
      <c r="F117" s="47"/>
      <c r="G117" s="47"/>
      <c r="H117" s="47"/>
      <c r="I117" s="47"/>
      <c r="J117" s="47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4"/>
    </row>
    <row r="118" spans="2:23" x14ac:dyDescent="0.25">
      <c r="B118" s="65"/>
      <c r="C118" s="47"/>
      <c r="D118" s="47"/>
      <c r="E118" s="47"/>
      <c r="F118" s="47"/>
      <c r="G118" s="47"/>
      <c r="H118" s="47"/>
      <c r="I118" s="47"/>
      <c r="J118" s="47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4"/>
    </row>
    <row r="119" spans="2:23" x14ac:dyDescent="0.25">
      <c r="B119" s="65"/>
      <c r="C119" s="47"/>
      <c r="D119" s="47"/>
      <c r="E119" s="47"/>
      <c r="F119" s="47"/>
      <c r="G119" s="47"/>
      <c r="H119" s="47"/>
      <c r="I119" s="47"/>
      <c r="J119" s="47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4"/>
    </row>
    <row r="120" spans="2:23" x14ac:dyDescent="0.25">
      <c r="B120" s="65"/>
      <c r="C120" s="47"/>
      <c r="D120" s="47"/>
      <c r="E120" s="47"/>
      <c r="F120" s="47"/>
      <c r="G120" s="47"/>
      <c r="H120" s="47"/>
      <c r="I120" s="47"/>
      <c r="J120" s="47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4"/>
    </row>
    <row r="121" spans="2:23" x14ac:dyDescent="0.25">
      <c r="B121" s="65"/>
      <c r="C121" s="47"/>
      <c r="D121" s="47"/>
      <c r="E121" s="47"/>
      <c r="F121" s="47"/>
      <c r="G121" s="47"/>
      <c r="H121" s="47"/>
      <c r="I121" s="47"/>
      <c r="J121" s="47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4"/>
    </row>
    <row r="122" spans="2:23" x14ac:dyDescent="0.25">
      <c r="B122" s="65"/>
      <c r="C122" s="47"/>
      <c r="D122" s="47"/>
      <c r="E122" s="47"/>
      <c r="F122" s="47"/>
      <c r="G122" s="47"/>
      <c r="H122" s="47"/>
      <c r="I122" s="47"/>
      <c r="J122" s="47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4"/>
    </row>
    <row r="123" spans="2:23" x14ac:dyDescent="0.25">
      <c r="B123" s="65"/>
      <c r="C123" s="47"/>
      <c r="D123" s="47"/>
      <c r="E123" s="47"/>
      <c r="F123" s="47"/>
      <c r="G123" s="47"/>
      <c r="H123" s="47"/>
      <c r="I123" s="47"/>
      <c r="J123" s="47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4"/>
    </row>
    <row r="124" spans="2:23" x14ac:dyDescent="0.25">
      <c r="B124" s="65"/>
      <c r="C124" s="47"/>
      <c r="D124" s="47"/>
      <c r="E124" s="47"/>
      <c r="F124" s="47"/>
      <c r="G124" s="47"/>
      <c r="H124" s="47"/>
      <c r="I124" s="47"/>
      <c r="J124" s="47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4"/>
    </row>
    <row r="125" spans="2:23" x14ac:dyDescent="0.25">
      <c r="B125" s="65"/>
      <c r="C125" s="47"/>
      <c r="D125" s="47"/>
      <c r="E125" s="47"/>
      <c r="F125" s="47"/>
      <c r="G125" s="47"/>
      <c r="H125" s="47"/>
      <c r="I125" s="47"/>
      <c r="J125" s="47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4"/>
    </row>
    <row r="126" spans="2:23" x14ac:dyDescent="0.25">
      <c r="B126" s="65"/>
      <c r="C126" s="47"/>
      <c r="D126" s="47"/>
      <c r="E126" s="47"/>
      <c r="F126" s="47"/>
      <c r="G126" s="47"/>
      <c r="H126" s="47"/>
      <c r="I126" s="47"/>
      <c r="J126" s="47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4"/>
    </row>
    <row r="127" spans="2:23" x14ac:dyDescent="0.25">
      <c r="B127" s="65"/>
      <c r="C127" s="47"/>
      <c r="D127" s="47"/>
      <c r="E127" s="47"/>
      <c r="F127" s="47"/>
      <c r="G127" s="47"/>
      <c r="H127" s="47"/>
      <c r="I127" s="47"/>
      <c r="J127" s="47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4"/>
    </row>
    <row r="128" spans="2:23" x14ac:dyDescent="0.25">
      <c r="B128" s="65"/>
      <c r="C128" s="47"/>
      <c r="D128" s="47"/>
      <c r="E128" s="47"/>
      <c r="F128" s="47"/>
      <c r="G128" s="47"/>
      <c r="H128" s="47"/>
      <c r="I128" s="47"/>
      <c r="J128" s="47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4"/>
    </row>
    <row r="129" spans="2:23" x14ac:dyDescent="0.25">
      <c r="B129" s="65"/>
      <c r="C129" s="47"/>
      <c r="D129" s="47"/>
      <c r="E129" s="47"/>
      <c r="F129" s="47"/>
      <c r="G129" s="47"/>
      <c r="H129" s="47"/>
      <c r="I129" s="47"/>
      <c r="J129" s="47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4"/>
    </row>
    <row r="130" spans="2:23" x14ac:dyDescent="0.25">
      <c r="B130" s="65"/>
      <c r="C130" s="47"/>
      <c r="D130" s="47"/>
      <c r="E130" s="47"/>
      <c r="F130" s="47"/>
      <c r="G130" s="47"/>
      <c r="H130" s="47"/>
      <c r="I130" s="47"/>
      <c r="J130" s="47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4"/>
    </row>
    <row r="131" spans="2:23" x14ac:dyDescent="0.25">
      <c r="B131" s="65"/>
      <c r="C131" s="47"/>
      <c r="D131" s="47"/>
      <c r="E131" s="47"/>
      <c r="F131" s="47"/>
      <c r="G131" s="47"/>
      <c r="H131" s="47"/>
      <c r="I131" s="47"/>
      <c r="J131" s="47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4"/>
    </row>
    <row r="132" spans="2:23" x14ac:dyDescent="0.25">
      <c r="B132" s="65"/>
      <c r="C132" s="47"/>
      <c r="D132" s="47"/>
      <c r="E132" s="47"/>
      <c r="F132" s="47"/>
      <c r="G132" s="47"/>
      <c r="H132" s="47"/>
      <c r="I132" s="47"/>
      <c r="J132" s="47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4"/>
    </row>
    <row r="133" spans="2:23" x14ac:dyDescent="0.25">
      <c r="B133" s="65"/>
      <c r="C133" s="47"/>
      <c r="D133" s="47"/>
      <c r="E133" s="47"/>
      <c r="F133" s="47"/>
      <c r="G133" s="47"/>
      <c r="H133" s="47"/>
      <c r="I133" s="47"/>
      <c r="J133" s="47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4"/>
    </row>
    <row r="134" spans="2:23" x14ac:dyDescent="0.25">
      <c r="B134" s="65"/>
      <c r="C134" s="47"/>
      <c r="D134" s="47"/>
      <c r="E134" s="47"/>
      <c r="F134" s="47"/>
      <c r="G134" s="47"/>
      <c r="H134" s="47"/>
      <c r="I134" s="47"/>
      <c r="J134" s="47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4"/>
    </row>
    <row r="135" spans="2:23" x14ac:dyDescent="0.25">
      <c r="B135" s="65"/>
      <c r="C135" s="47"/>
      <c r="D135" s="47"/>
      <c r="E135" s="47"/>
      <c r="F135" s="47"/>
      <c r="G135" s="47"/>
      <c r="H135" s="47"/>
      <c r="I135" s="47"/>
      <c r="J135" s="47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4"/>
    </row>
    <row r="136" spans="2:23" x14ac:dyDescent="0.25">
      <c r="B136" s="65"/>
      <c r="C136" s="47"/>
      <c r="D136" s="47"/>
      <c r="E136" s="47"/>
      <c r="F136" s="47"/>
      <c r="G136" s="47"/>
      <c r="H136" s="47"/>
      <c r="I136" s="47"/>
      <c r="J136" s="47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4"/>
    </row>
    <row r="137" spans="2:23" x14ac:dyDescent="0.25">
      <c r="B137" s="65"/>
      <c r="C137" s="47"/>
      <c r="D137" s="47"/>
      <c r="E137" s="47"/>
      <c r="F137" s="47"/>
      <c r="G137" s="47"/>
      <c r="H137" s="47"/>
      <c r="I137" s="47"/>
      <c r="J137" s="47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4"/>
    </row>
    <row r="138" spans="2:23" x14ac:dyDescent="0.25">
      <c r="B138" s="65"/>
      <c r="C138" s="47"/>
      <c r="D138" s="47"/>
      <c r="E138" s="47"/>
      <c r="F138" s="47"/>
      <c r="G138" s="47"/>
      <c r="H138" s="47"/>
      <c r="I138" s="47"/>
      <c r="J138" s="47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4"/>
    </row>
    <row r="139" spans="2:23" x14ac:dyDescent="0.25">
      <c r="B139" s="65"/>
      <c r="C139" s="47"/>
      <c r="D139" s="47"/>
      <c r="E139" s="47"/>
      <c r="F139" s="47"/>
      <c r="G139" s="47"/>
      <c r="H139" s="47"/>
      <c r="I139" s="47"/>
      <c r="J139" s="47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4"/>
    </row>
    <row r="140" spans="2:23" x14ac:dyDescent="0.25">
      <c r="B140" s="65"/>
      <c r="C140" s="47"/>
      <c r="D140" s="47"/>
      <c r="E140" s="47"/>
      <c r="F140" s="47"/>
      <c r="G140" s="47"/>
      <c r="H140" s="47"/>
      <c r="I140" s="47"/>
      <c r="J140" s="47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4"/>
    </row>
    <row r="141" spans="2:23" x14ac:dyDescent="0.25">
      <c r="B141" s="65"/>
      <c r="C141" s="47"/>
      <c r="D141" s="47"/>
      <c r="E141" s="47"/>
      <c r="F141" s="47"/>
      <c r="G141" s="47"/>
      <c r="H141" s="47"/>
      <c r="I141" s="47"/>
      <c r="J141" s="47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4"/>
    </row>
    <row r="142" spans="2:23" x14ac:dyDescent="0.25">
      <c r="B142" s="65"/>
      <c r="C142" s="47"/>
      <c r="D142" s="47"/>
      <c r="E142" s="47"/>
      <c r="F142" s="47"/>
      <c r="G142" s="47"/>
      <c r="H142" s="47"/>
      <c r="I142" s="47"/>
      <c r="J142" s="47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4"/>
    </row>
    <row r="143" spans="2:23" x14ac:dyDescent="0.25">
      <c r="B143" s="65"/>
      <c r="C143" s="47"/>
      <c r="D143" s="47"/>
      <c r="E143" s="47"/>
      <c r="F143" s="47"/>
      <c r="G143" s="47"/>
      <c r="H143" s="47"/>
      <c r="I143" s="47"/>
      <c r="J143" s="47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4"/>
    </row>
    <row r="144" spans="2:23" x14ac:dyDescent="0.25">
      <c r="B144" s="65"/>
      <c r="C144" s="47"/>
      <c r="D144" s="47"/>
      <c r="E144" s="47"/>
      <c r="F144" s="47"/>
      <c r="G144" s="47"/>
      <c r="H144" s="47"/>
      <c r="I144" s="47"/>
      <c r="J144" s="47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4"/>
    </row>
    <row r="145" spans="2:24" ht="15.75" thickBot="1" x14ac:dyDescent="0.3">
      <c r="B145" s="66"/>
      <c r="C145" s="67"/>
      <c r="D145" s="67"/>
      <c r="E145" s="67"/>
      <c r="F145" s="67"/>
      <c r="G145" s="67"/>
      <c r="H145" s="67"/>
      <c r="I145" s="67"/>
      <c r="J145" s="67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9"/>
    </row>
    <row r="147" spans="2:24" x14ac:dyDescent="0.25">
      <c r="B147" s="46"/>
      <c r="C147" s="47"/>
      <c r="D147" s="47"/>
      <c r="E147" s="47"/>
      <c r="F147" s="47"/>
      <c r="G147" s="47"/>
      <c r="H147" s="47"/>
      <c r="I147" s="47"/>
      <c r="J147" s="47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</row>
    <row r="148" spans="2:24" x14ac:dyDescent="0.25">
      <c r="B148" s="46"/>
      <c r="C148" s="47"/>
      <c r="D148" s="47"/>
      <c r="E148" s="47"/>
      <c r="F148" s="47"/>
      <c r="G148" s="47"/>
      <c r="H148" s="47"/>
      <c r="I148" s="47"/>
      <c r="J148" s="47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</row>
    <row r="149" spans="2:24" x14ac:dyDescent="0.25">
      <c r="B149" s="46"/>
      <c r="C149" s="47"/>
      <c r="D149" s="47"/>
      <c r="E149" s="47"/>
      <c r="F149" s="47"/>
      <c r="G149" s="47"/>
      <c r="H149" s="47"/>
      <c r="I149" s="47"/>
      <c r="J149" s="47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</row>
    <row r="150" spans="2:24" x14ac:dyDescent="0.25">
      <c r="B150" s="46"/>
      <c r="C150" s="47"/>
      <c r="D150" s="47"/>
      <c r="E150" s="47"/>
      <c r="F150" s="47"/>
      <c r="G150" s="47"/>
      <c r="H150" s="47"/>
      <c r="I150" s="47"/>
      <c r="J150" s="47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</row>
    <row r="151" spans="2:24" x14ac:dyDescent="0.25">
      <c r="B151" s="46"/>
      <c r="C151" s="47"/>
      <c r="D151" s="47"/>
      <c r="E151" s="47"/>
      <c r="F151" s="47"/>
      <c r="G151" s="47"/>
      <c r="H151" s="47"/>
      <c r="I151" s="47"/>
      <c r="J151" s="47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</row>
    <row r="152" spans="2:24" x14ac:dyDescent="0.25">
      <c r="B152" s="46"/>
      <c r="C152" s="47"/>
      <c r="D152" s="47"/>
      <c r="E152" s="47"/>
      <c r="F152" s="47"/>
      <c r="G152" s="47"/>
      <c r="H152" s="47"/>
      <c r="I152" s="47"/>
      <c r="J152" s="47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</row>
    <row r="153" spans="2:24" x14ac:dyDescent="0.25">
      <c r="B153" s="46"/>
      <c r="C153" s="47"/>
      <c r="D153" s="47"/>
      <c r="E153" s="47"/>
      <c r="F153" s="47"/>
      <c r="G153" s="47"/>
      <c r="H153" s="47"/>
      <c r="I153" s="47"/>
      <c r="J153" s="47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</row>
    <row r="154" spans="2:24" x14ac:dyDescent="0.25">
      <c r="B154" s="46"/>
      <c r="C154" s="47"/>
      <c r="D154" s="47"/>
      <c r="E154" s="47"/>
      <c r="F154" s="47"/>
      <c r="G154" s="47"/>
      <c r="H154" s="47"/>
      <c r="I154" s="47"/>
      <c r="J154" s="47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</row>
    <row r="155" spans="2:24" x14ac:dyDescent="0.25">
      <c r="B155" s="46"/>
      <c r="C155" s="47"/>
      <c r="D155" s="47"/>
      <c r="E155" s="47"/>
      <c r="F155" s="47"/>
      <c r="G155" s="47"/>
      <c r="H155" s="47"/>
      <c r="I155" s="47"/>
      <c r="J155" s="47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</row>
    <row r="156" spans="2:24" x14ac:dyDescent="0.25">
      <c r="B156" s="46"/>
      <c r="C156" s="47"/>
      <c r="D156" s="47"/>
      <c r="E156" s="47"/>
      <c r="F156" s="47"/>
      <c r="G156" s="47"/>
      <c r="H156" s="47"/>
      <c r="I156" s="47"/>
      <c r="J156" s="47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</row>
    <row r="157" spans="2:24" x14ac:dyDescent="0.25">
      <c r="B157" s="46"/>
      <c r="C157" s="47"/>
      <c r="D157" s="47"/>
      <c r="E157" s="47"/>
      <c r="F157" s="47"/>
      <c r="G157" s="47"/>
      <c r="H157" s="47"/>
      <c r="I157" s="47"/>
      <c r="J157" s="47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</row>
    <row r="158" spans="2:24" x14ac:dyDescent="0.25">
      <c r="B158" s="46"/>
      <c r="C158" s="47"/>
      <c r="D158" s="47"/>
      <c r="E158" s="47"/>
      <c r="F158" s="47"/>
      <c r="G158" s="47"/>
      <c r="H158" s="47"/>
      <c r="I158" s="47"/>
      <c r="J158" s="47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</row>
    <row r="159" spans="2:24" x14ac:dyDescent="0.25">
      <c r="B159" s="46"/>
      <c r="C159" s="47"/>
      <c r="D159" s="47"/>
      <c r="E159" s="47"/>
      <c r="F159" s="47"/>
      <c r="G159" s="47"/>
      <c r="H159" s="47"/>
      <c r="I159" s="47"/>
      <c r="J159" s="47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</row>
    <row r="160" spans="2:24" x14ac:dyDescent="0.25">
      <c r="B160" s="46"/>
      <c r="C160" s="47"/>
      <c r="D160" s="47"/>
      <c r="E160" s="47"/>
      <c r="F160" s="47"/>
      <c r="G160" s="47"/>
      <c r="H160" s="47"/>
      <c r="I160" s="47"/>
      <c r="J160" s="47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</row>
    <row r="161" spans="2:24" x14ac:dyDescent="0.25">
      <c r="B161" s="46"/>
      <c r="C161" s="47"/>
      <c r="D161" s="47"/>
      <c r="E161" s="47"/>
      <c r="F161" s="47"/>
      <c r="G161" s="47"/>
      <c r="H161" s="47"/>
      <c r="I161" s="47"/>
      <c r="J161" s="47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</row>
    <row r="162" spans="2:24" x14ac:dyDescent="0.25">
      <c r="B162" s="46"/>
      <c r="C162" s="47"/>
      <c r="D162" s="47"/>
      <c r="E162" s="47"/>
      <c r="F162" s="47"/>
      <c r="G162" s="47"/>
      <c r="H162" s="47"/>
      <c r="I162" s="47"/>
      <c r="J162" s="47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</row>
    <row r="163" spans="2:24" x14ac:dyDescent="0.25">
      <c r="B163" s="46"/>
      <c r="C163" s="47"/>
      <c r="D163" s="47"/>
      <c r="E163" s="47"/>
      <c r="F163" s="47"/>
      <c r="G163" s="47"/>
      <c r="H163" s="47"/>
      <c r="I163" s="47"/>
      <c r="J163" s="47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</row>
    <row r="164" spans="2:24" x14ac:dyDescent="0.25">
      <c r="B164" s="46"/>
      <c r="C164" s="47"/>
      <c r="D164" s="47"/>
      <c r="E164" s="47"/>
      <c r="F164" s="47"/>
      <c r="G164" s="47"/>
      <c r="H164" s="47"/>
      <c r="I164" s="47"/>
      <c r="J164" s="47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</row>
    <row r="165" spans="2:24" x14ac:dyDescent="0.25">
      <c r="B165" s="46"/>
      <c r="C165" s="47"/>
      <c r="D165" s="47"/>
      <c r="E165" s="47"/>
      <c r="F165" s="47"/>
      <c r="G165" s="47"/>
      <c r="H165" s="47"/>
      <c r="I165" s="47"/>
      <c r="J165" s="47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</row>
    <row r="166" spans="2:24" x14ac:dyDescent="0.25">
      <c r="B166" s="46"/>
      <c r="C166" s="47"/>
      <c r="D166" s="47"/>
      <c r="E166" s="47"/>
      <c r="F166" s="47"/>
      <c r="G166" s="47"/>
      <c r="H166" s="47"/>
      <c r="I166" s="47"/>
      <c r="J166" s="47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</row>
    <row r="167" spans="2:24" x14ac:dyDescent="0.25">
      <c r="B167" s="46"/>
      <c r="C167" s="47"/>
      <c r="D167" s="47"/>
      <c r="E167" s="47"/>
      <c r="F167" s="47"/>
      <c r="G167" s="47"/>
      <c r="H167" s="47"/>
      <c r="I167" s="47"/>
      <c r="J167" s="47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</row>
    <row r="168" spans="2:24" x14ac:dyDescent="0.25">
      <c r="B168" s="46"/>
      <c r="C168" s="47"/>
      <c r="D168" s="47"/>
      <c r="E168" s="47"/>
      <c r="F168" s="47"/>
      <c r="G168" s="47"/>
      <c r="H168" s="47"/>
      <c r="I168" s="47"/>
      <c r="J168" s="47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</row>
    <row r="169" spans="2:24" x14ac:dyDescent="0.25">
      <c r="B169" s="46"/>
      <c r="C169" s="47"/>
      <c r="D169" s="47"/>
      <c r="E169" s="47"/>
      <c r="F169" s="47"/>
      <c r="G169" s="47"/>
      <c r="H169" s="47"/>
      <c r="I169" s="47"/>
      <c r="J169" s="47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</row>
    <row r="170" spans="2:24" x14ac:dyDescent="0.25">
      <c r="B170" s="46"/>
      <c r="C170" s="47"/>
      <c r="D170" s="47"/>
      <c r="E170" s="47"/>
      <c r="F170" s="47"/>
      <c r="G170" s="47"/>
      <c r="H170" s="47"/>
      <c r="I170" s="47"/>
      <c r="J170" s="47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</row>
    <row r="171" spans="2:24" x14ac:dyDescent="0.25">
      <c r="B171" s="46"/>
      <c r="C171" s="47"/>
      <c r="D171" s="47"/>
      <c r="E171" s="47"/>
      <c r="F171" s="47"/>
      <c r="G171" s="47"/>
      <c r="H171" s="47"/>
      <c r="I171" s="47"/>
      <c r="J171" s="47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</row>
    <row r="172" spans="2:24" x14ac:dyDescent="0.25">
      <c r="B172" s="46"/>
      <c r="C172" s="47"/>
      <c r="D172" s="47"/>
      <c r="E172" s="47"/>
      <c r="F172" s="47"/>
      <c r="G172" s="47"/>
      <c r="H172" s="47"/>
      <c r="I172" s="47"/>
      <c r="J172" s="47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</row>
    <row r="173" spans="2:24" x14ac:dyDescent="0.25">
      <c r="B173" s="46"/>
      <c r="C173" s="47"/>
      <c r="D173" s="47"/>
      <c r="E173" s="47"/>
      <c r="F173" s="47"/>
      <c r="G173" s="47"/>
      <c r="H173" s="47"/>
      <c r="I173" s="47"/>
      <c r="J173" s="47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</row>
    <row r="174" spans="2:24" x14ac:dyDescent="0.25">
      <c r="B174" s="46"/>
      <c r="C174" s="47"/>
      <c r="D174" s="47"/>
      <c r="E174" s="47"/>
      <c r="F174" s="47"/>
      <c r="G174" s="47"/>
      <c r="H174" s="47"/>
      <c r="I174" s="47"/>
      <c r="J174" s="47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</row>
    <row r="175" spans="2:24" x14ac:dyDescent="0.25">
      <c r="B175" s="46"/>
      <c r="C175" s="47"/>
      <c r="D175" s="47"/>
      <c r="E175" s="47"/>
      <c r="F175" s="47"/>
      <c r="G175" s="47"/>
      <c r="H175" s="47"/>
      <c r="I175" s="47"/>
      <c r="J175" s="47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</row>
    <row r="176" spans="2:24" x14ac:dyDescent="0.25">
      <c r="B176" s="46"/>
      <c r="C176" s="47"/>
      <c r="D176" s="47"/>
      <c r="E176" s="47"/>
      <c r="F176" s="47"/>
      <c r="G176" s="47"/>
      <c r="H176" s="47"/>
      <c r="I176" s="47"/>
      <c r="J176" s="47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</row>
    <row r="177" spans="2:24" x14ac:dyDescent="0.25">
      <c r="B177" s="46"/>
      <c r="C177" s="47"/>
      <c r="D177" s="47"/>
      <c r="E177" s="47"/>
      <c r="F177" s="47"/>
      <c r="G177" s="47"/>
      <c r="H177" s="47"/>
      <c r="I177" s="47"/>
      <c r="J177" s="47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</row>
    <row r="178" spans="2:24" x14ac:dyDescent="0.25">
      <c r="B178" s="46"/>
      <c r="C178" s="47"/>
      <c r="D178" s="47"/>
      <c r="E178" s="47"/>
      <c r="F178" s="47"/>
      <c r="G178" s="47"/>
      <c r="H178" s="47"/>
      <c r="I178" s="47"/>
      <c r="J178" s="47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</row>
    <row r="179" spans="2:24" x14ac:dyDescent="0.25">
      <c r="B179" s="46"/>
      <c r="C179" s="47"/>
      <c r="D179" s="47"/>
      <c r="E179" s="47"/>
      <c r="F179" s="47"/>
      <c r="G179" s="47"/>
      <c r="H179" s="47"/>
      <c r="I179" s="47"/>
      <c r="J179" s="47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</row>
    <row r="180" spans="2:24" x14ac:dyDescent="0.25">
      <c r="B180" s="46"/>
      <c r="C180" s="47"/>
      <c r="D180" s="47"/>
      <c r="E180" s="47"/>
      <c r="F180" s="47"/>
      <c r="G180" s="47"/>
      <c r="H180" s="47"/>
      <c r="I180" s="47"/>
      <c r="J180" s="47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</row>
    <row r="181" spans="2:24" x14ac:dyDescent="0.25">
      <c r="B181" s="46"/>
      <c r="C181" s="47"/>
      <c r="D181" s="47"/>
      <c r="E181" s="47"/>
      <c r="F181" s="47"/>
      <c r="G181" s="47"/>
      <c r="H181" s="47"/>
      <c r="I181" s="47"/>
      <c r="J181" s="47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</row>
    <row r="182" spans="2:24" x14ac:dyDescent="0.25">
      <c r="B182" s="46"/>
      <c r="C182" s="47"/>
      <c r="D182" s="47"/>
      <c r="E182" s="47"/>
      <c r="F182" s="47"/>
      <c r="G182" s="47"/>
      <c r="H182" s="47"/>
      <c r="I182" s="47"/>
      <c r="J182" s="47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</row>
    <row r="183" spans="2:24" x14ac:dyDescent="0.25">
      <c r="B183" s="46"/>
      <c r="C183" s="47"/>
      <c r="D183" s="47"/>
      <c r="E183" s="47"/>
      <c r="F183" s="47"/>
      <c r="G183" s="47"/>
      <c r="H183" s="47"/>
      <c r="I183" s="47"/>
      <c r="J183" s="47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</row>
    <row r="184" spans="2:24" x14ac:dyDescent="0.25">
      <c r="B184" s="46"/>
      <c r="C184" s="47"/>
      <c r="D184" s="47"/>
      <c r="E184" s="47"/>
      <c r="F184" s="47"/>
      <c r="G184" s="47"/>
      <c r="H184" s="47"/>
      <c r="I184" s="47"/>
      <c r="J184" s="47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</row>
    <row r="185" spans="2:24" x14ac:dyDescent="0.25">
      <c r="B185" s="46"/>
      <c r="C185" s="47"/>
      <c r="D185" s="47"/>
      <c r="E185" s="47"/>
      <c r="F185" s="47"/>
      <c r="G185" s="47"/>
      <c r="H185" s="47"/>
      <c r="I185" s="47"/>
      <c r="J185" s="47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</row>
    <row r="186" spans="2:24" x14ac:dyDescent="0.25">
      <c r="B186" s="46"/>
      <c r="C186" s="47"/>
      <c r="D186" s="47"/>
      <c r="E186" s="47"/>
      <c r="F186" s="47"/>
      <c r="G186" s="47"/>
      <c r="H186" s="47"/>
      <c r="I186" s="47"/>
      <c r="J186" s="47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</row>
    <row r="187" spans="2:24" x14ac:dyDescent="0.25">
      <c r="B187" s="46"/>
      <c r="C187" s="47"/>
      <c r="D187" s="47"/>
      <c r="E187" s="47"/>
      <c r="F187" s="47"/>
      <c r="G187" s="47"/>
      <c r="H187" s="47"/>
      <c r="I187" s="47"/>
      <c r="J187" s="47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</row>
    <row r="188" spans="2:24" x14ac:dyDescent="0.25">
      <c r="B188" s="46"/>
      <c r="C188" s="47"/>
      <c r="D188" s="47"/>
      <c r="E188" s="47"/>
      <c r="F188" s="47"/>
      <c r="G188" s="47"/>
      <c r="H188" s="47"/>
      <c r="I188" s="47"/>
      <c r="J188" s="47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</row>
    <row r="189" spans="2:24" x14ac:dyDescent="0.25">
      <c r="B189" s="46"/>
      <c r="C189" s="47"/>
      <c r="D189" s="47"/>
      <c r="E189" s="47"/>
      <c r="F189" s="47"/>
      <c r="G189" s="47"/>
      <c r="H189" s="47"/>
      <c r="I189" s="47"/>
      <c r="J189" s="47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</row>
    <row r="190" spans="2:24" x14ac:dyDescent="0.25">
      <c r="B190" s="46"/>
      <c r="C190" s="47"/>
      <c r="D190" s="47"/>
      <c r="E190" s="47"/>
      <c r="F190" s="47"/>
      <c r="G190" s="47"/>
      <c r="H190" s="47"/>
      <c r="I190" s="47"/>
      <c r="J190" s="47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</row>
    <row r="191" spans="2:24" x14ac:dyDescent="0.25">
      <c r="B191" s="46"/>
      <c r="C191" s="47"/>
      <c r="D191" s="47"/>
      <c r="E191" s="47"/>
      <c r="F191" s="47"/>
      <c r="G191" s="47"/>
      <c r="H191" s="47"/>
      <c r="I191" s="47"/>
      <c r="J191" s="47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</row>
    <row r="192" spans="2:24" x14ac:dyDescent="0.25">
      <c r="B192" s="46"/>
      <c r="C192" s="47"/>
      <c r="D192" s="47"/>
      <c r="E192" s="47"/>
      <c r="F192" s="47"/>
      <c r="G192" s="47"/>
      <c r="H192" s="47"/>
      <c r="I192" s="47"/>
      <c r="J192" s="47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</row>
    <row r="193" spans="2:24" x14ac:dyDescent="0.25">
      <c r="B193" s="46"/>
      <c r="C193" s="47"/>
      <c r="D193" s="47"/>
      <c r="E193" s="47"/>
      <c r="F193" s="47"/>
      <c r="G193" s="47"/>
      <c r="H193" s="47"/>
      <c r="I193" s="47"/>
      <c r="J193" s="47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</row>
    <row r="194" spans="2:24" x14ac:dyDescent="0.25">
      <c r="B194" s="46"/>
      <c r="C194" s="47"/>
      <c r="D194" s="47"/>
      <c r="E194" s="47"/>
      <c r="F194" s="47"/>
      <c r="G194" s="47"/>
      <c r="H194" s="47"/>
      <c r="I194" s="47"/>
      <c r="J194" s="47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</row>
    <row r="195" spans="2:24" x14ac:dyDescent="0.25">
      <c r="B195" s="46"/>
      <c r="C195" s="47"/>
      <c r="D195" s="47"/>
      <c r="E195" s="47"/>
      <c r="F195" s="47"/>
      <c r="G195" s="47"/>
      <c r="H195" s="47"/>
      <c r="I195" s="47"/>
      <c r="J195" s="47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</row>
    <row r="196" spans="2:24" x14ac:dyDescent="0.25">
      <c r="B196" s="46"/>
      <c r="C196" s="47"/>
      <c r="D196" s="47"/>
      <c r="E196" s="47"/>
      <c r="F196" s="47"/>
      <c r="G196" s="47"/>
      <c r="H196" s="47"/>
      <c r="I196" s="47"/>
      <c r="J196" s="47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</row>
    <row r="197" spans="2:24" x14ac:dyDescent="0.25">
      <c r="B197" s="46"/>
      <c r="C197" s="47"/>
      <c r="D197" s="47"/>
      <c r="E197" s="47"/>
      <c r="F197" s="47"/>
      <c r="G197" s="47"/>
      <c r="H197" s="47"/>
      <c r="I197" s="47"/>
      <c r="J197" s="47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</row>
    <row r="198" spans="2:24" x14ac:dyDescent="0.25">
      <c r="B198" s="46"/>
      <c r="C198" s="47"/>
      <c r="D198" s="47"/>
      <c r="E198" s="47"/>
      <c r="F198" s="47"/>
      <c r="G198" s="47"/>
      <c r="H198" s="47"/>
      <c r="I198" s="47"/>
      <c r="J198" s="47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</row>
    <row r="199" spans="2:24" x14ac:dyDescent="0.25">
      <c r="B199" s="46"/>
      <c r="C199" s="47"/>
      <c r="D199" s="47"/>
      <c r="E199" s="47"/>
      <c r="F199" s="47"/>
      <c r="G199" s="47"/>
      <c r="H199" s="47"/>
      <c r="I199" s="47"/>
      <c r="J199" s="47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</row>
    <row r="200" spans="2:24" x14ac:dyDescent="0.25">
      <c r="B200" s="46"/>
      <c r="C200" s="47"/>
      <c r="D200" s="47"/>
      <c r="E200" s="47"/>
      <c r="F200" s="47"/>
      <c r="G200" s="47"/>
      <c r="H200" s="47"/>
      <c r="I200" s="47"/>
      <c r="J200" s="47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</row>
    <row r="201" spans="2:24" x14ac:dyDescent="0.25">
      <c r="B201" s="46"/>
      <c r="C201" s="47"/>
      <c r="D201" s="47"/>
      <c r="E201" s="47"/>
      <c r="F201" s="47"/>
      <c r="G201" s="47"/>
      <c r="H201" s="47"/>
      <c r="I201" s="47"/>
      <c r="J201" s="47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</row>
    <row r="202" spans="2:24" x14ac:dyDescent="0.25">
      <c r="B202" s="46"/>
      <c r="C202" s="47"/>
      <c r="D202" s="47"/>
      <c r="E202" s="47"/>
      <c r="F202" s="47"/>
      <c r="G202" s="47"/>
      <c r="H202" s="47"/>
      <c r="I202" s="47"/>
      <c r="J202" s="47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</row>
    <row r="203" spans="2:24" x14ac:dyDescent="0.25">
      <c r="B203" s="46"/>
      <c r="C203" s="47"/>
      <c r="D203" s="47"/>
      <c r="E203" s="47"/>
      <c r="F203" s="47"/>
      <c r="G203" s="47"/>
      <c r="H203" s="47"/>
      <c r="I203" s="47"/>
      <c r="J203" s="47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</row>
    <row r="204" spans="2:24" x14ac:dyDescent="0.25">
      <c r="B204" s="46"/>
      <c r="C204" s="47"/>
      <c r="D204" s="47"/>
      <c r="E204" s="47"/>
      <c r="F204" s="47"/>
      <c r="G204" s="47"/>
      <c r="H204" s="47"/>
      <c r="I204" s="47"/>
      <c r="J204" s="47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</row>
    <row r="205" spans="2:24" x14ac:dyDescent="0.25">
      <c r="B205" s="46"/>
      <c r="C205" s="47"/>
      <c r="D205" s="47"/>
      <c r="E205" s="47"/>
      <c r="F205" s="47"/>
      <c r="G205" s="47"/>
      <c r="H205" s="47"/>
      <c r="I205" s="47"/>
      <c r="J205" s="47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</row>
    <row r="206" spans="2:24" x14ac:dyDescent="0.25">
      <c r="B206" s="46"/>
      <c r="C206" s="47"/>
      <c r="D206" s="47"/>
      <c r="E206" s="47"/>
      <c r="F206" s="47"/>
      <c r="G206" s="47"/>
      <c r="H206" s="47"/>
      <c r="I206" s="47"/>
      <c r="J206" s="47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</row>
    <row r="207" spans="2:24" x14ac:dyDescent="0.25">
      <c r="B207" s="46"/>
      <c r="C207" s="47"/>
      <c r="D207" s="47"/>
      <c r="E207" s="47"/>
      <c r="F207" s="47"/>
      <c r="G207" s="47"/>
      <c r="H207" s="47"/>
      <c r="I207" s="47"/>
      <c r="J207" s="47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</row>
    <row r="208" spans="2:24" x14ac:dyDescent="0.25">
      <c r="B208" s="46"/>
      <c r="C208" s="47"/>
      <c r="D208" s="47"/>
      <c r="E208" s="47"/>
      <c r="F208" s="47"/>
      <c r="G208" s="47"/>
      <c r="H208" s="47"/>
      <c r="I208" s="47"/>
      <c r="J208" s="47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</row>
    <row r="209" spans="2:24" x14ac:dyDescent="0.25">
      <c r="B209" s="46"/>
      <c r="C209" s="47"/>
      <c r="D209" s="47"/>
      <c r="E209" s="47"/>
      <c r="F209" s="47"/>
      <c r="G209" s="47"/>
      <c r="H209" s="47"/>
      <c r="I209" s="47"/>
      <c r="J209" s="47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</row>
    <row r="210" spans="2:24" x14ac:dyDescent="0.25">
      <c r="B210" s="46"/>
      <c r="C210" s="47"/>
      <c r="D210" s="47"/>
      <c r="E210" s="47"/>
      <c r="F210" s="47"/>
      <c r="G210" s="47"/>
      <c r="H210" s="47"/>
      <c r="I210" s="47"/>
      <c r="J210" s="47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</row>
    <row r="211" spans="2:24" x14ac:dyDescent="0.25">
      <c r="B211" s="46"/>
      <c r="C211" s="47"/>
      <c r="D211" s="47"/>
      <c r="E211" s="47"/>
      <c r="F211" s="47"/>
      <c r="G211" s="47"/>
      <c r="H211" s="47"/>
      <c r="I211" s="47"/>
      <c r="J211" s="47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</row>
    <row r="212" spans="2:24" x14ac:dyDescent="0.25">
      <c r="B212" s="46"/>
      <c r="C212" s="47"/>
      <c r="D212" s="47"/>
      <c r="E212" s="47"/>
      <c r="F212" s="47"/>
      <c r="G212" s="47"/>
      <c r="H212" s="47"/>
      <c r="I212" s="47"/>
      <c r="J212" s="47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</row>
    <row r="213" spans="2:24" x14ac:dyDescent="0.25">
      <c r="B213" s="46"/>
      <c r="C213" s="47"/>
      <c r="D213" s="47"/>
      <c r="E213" s="47"/>
      <c r="F213" s="47"/>
      <c r="G213" s="47"/>
      <c r="H213" s="47"/>
      <c r="I213" s="47"/>
      <c r="J213" s="47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</row>
    <row r="214" spans="2:24" x14ac:dyDescent="0.25">
      <c r="B214" s="46"/>
      <c r="C214" s="47"/>
      <c r="D214" s="47"/>
      <c r="E214" s="47"/>
      <c r="F214" s="47"/>
      <c r="G214" s="47"/>
      <c r="H214" s="47"/>
      <c r="I214" s="47"/>
      <c r="J214" s="47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</row>
    <row r="215" spans="2:24" x14ac:dyDescent="0.25">
      <c r="B215" s="46"/>
      <c r="C215" s="47"/>
      <c r="D215" s="47"/>
      <c r="E215" s="47"/>
      <c r="F215" s="47"/>
      <c r="G215" s="47"/>
      <c r="H215" s="47"/>
      <c r="I215" s="47"/>
      <c r="J215" s="47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</row>
    <row r="216" spans="2:24" x14ac:dyDescent="0.25">
      <c r="B216" s="46"/>
      <c r="C216" s="47"/>
      <c r="D216" s="47"/>
      <c r="E216" s="47"/>
      <c r="F216" s="47"/>
      <c r="G216" s="47"/>
      <c r="H216" s="47"/>
      <c r="I216" s="47"/>
      <c r="J216" s="47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</row>
    <row r="217" spans="2:24" x14ac:dyDescent="0.25">
      <c r="B217" s="46"/>
      <c r="C217" s="47"/>
      <c r="D217" s="47"/>
      <c r="E217" s="47"/>
      <c r="F217" s="47"/>
      <c r="G217" s="47"/>
      <c r="H217" s="47"/>
      <c r="I217" s="47"/>
      <c r="J217" s="47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</row>
    <row r="218" spans="2:24" x14ac:dyDescent="0.25">
      <c r="B218" s="46"/>
      <c r="C218" s="47"/>
      <c r="D218" s="47"/>
      <c r="E218" s="47"/>
      <c r="F218" s="47"/>
      <c r="G218" s="47"/>
      <c r="H218" s="47"/>
      <c r="I218" s="47"/>
      <c r="J218" s="47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</row>
    <row r="219" spans="2:24" x14ac:dyDescent="0.25">
      <c r="B219" s="46"/>
      <c r="C219" s="47"/>
      <c r="D219" s="47"/>
      <c r="E219" s="47"/>
      <c r="F219" s="47"/>
      <c r="G219" s="47"/>
      <c r="H219" s="47"/>
      <c r="I219" s="47"/>
      <c r="J219" s="47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</row>
    <row r="220" spans="2:24" x14ac:dyDescent="0.25">
      <c r="B220" s="46"/>
      <c r="C220" s="47"/>
      <c r="D220" s="47"/>
      <c r="E220" s="47"/>
      <c r="F220" s="47"/>
      <c r="G220" s="47"/>
      <c r="H220" s="47"/>
      <c r="I220" s="47"/>
      <c r="J220" s="47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</row>
    <row r="221" spans="2:24" x14ac:dyDescent="0.25">
      <c r="B221" s="46"/>
      <c r="C221" s="47"/>
      <c r="D221" s="47"/>
      <c r="E221" s="47"/>
      <c r="F221" s="47"/>
      <c r="G221" s="47"/>
      <c r="H221" s="47"/>
      <c r="I221" s="47"/>
      <c r="J221" s="47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</row>
    <row r="222" spans="2:24" x14ac:dyDescent="0.25">
      <c r="B222" s="46"/>
      <c r="C222" s="47"/>
      <c r="D222" s="47"/>
      <c r="E222" s="47"/>
      <c r="F222" s="47"/>
      <c r="G222" s="47"/>
      <c r="H222" s="47"/>
      <c r="I222" s="47"/>
      <c r="J222" s="47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</row>
    <row r="223" spans="2:24" x14ac:dyDescent="0.25">
      <c r="B223" s="46"/>
      <c r="C223" s="47"/>
      <c r="D223" s="47"/>
      <c r="E223" s="47"/>
      <c r="F223" s="47"/>
      <c r="G223" s="47"/>
      <c r="H223" s="47"/>
      <c r="I223" s="47"/>
      <c r="J223" s="47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</row>
    <row r="224" spans="2:24" x14ac:dyDescent="0.25">
      <c r="B224" s="46"/>
      <c r="C224" s="47"/>
      <c r="D224" s="47"/>
      <c r="E224" s="47"/>
      <c r="F224" s="47"/>
      <c r="G224" s="47"/>
      <c r="H224" s="47"/>
      <c r="I224" s="47"/>
      <c r="J224" s="47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</row>
    <row r="225" spans="2:24" x14ac:dyDescent="0.25">
      <c r="B225" s="46"/>
      <c r="C225" s="47"/>
      <c r="D225" s="47"/>
      <c r="E225" s="47"/>
      <c r="F225" s="47"/>
      <c r="G225" s="47"/>
      <c r="H225" s="47"/>
      <c r="I225" s="47"/>
      <c r="J225" s="47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</row>
    <row r="226" spans="2:24" x14ac:dyDescent="0.25">
      <c r="B226" s="46"/>
      <c r="C226" s="47"/>
      <c r="D226" s="47"/>
      <c r="E226" s="47"/>
      <c r="F226" s="47"/>
      <c r="G226" s="47"/>
      <c r="H226" s="47"/>
      <c r="I226" s="47"/>
      <c r="J226" s="47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</row>
    <row r="227" spans="2:24" x14ac:dyDescent="0.25">
      <c r="B227" s="46"/>
      <c r="C227" s="47"/>
      <c r="D227" s="47"/>
      <c r="E227" s="47"/>
      <c r="F227" s="47"/>
      <c r="G227" s="47"/>
      <c r="H227" s="47"/>
      <c r="I227" s="47"/>
      <c r="J227" s="47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</row>
    <row r="228" spans="2:24" x14ac:dyDescent="0.25">
      <c r="B228" s="46"/>
      <c r="C228" s="47"/>
      <c r="D228" s="47"/>
      <c r="E228" s="47"/>
      <c r="F228" s="47"/>
      <c r="G228" s="47"/>
      <c r="H228" s="47"/>
      <c r="I228" s="47"/>
      <c r="J228" s="47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</row>
    <row r="229" spans="2:24" x14ac:dyDescent="0.25">
      <c r="B229" s="46"/>
      <c r="C229" s="47"/>
      <c r="D229" s="47"/>
      <c r="E229" s="47"/>
      <c r="F229" s="47"/>
      <c r="G229" s="47"/>
      <c r="H229" s="47"/>
      <c r="I229" s="47"/>
      <c r="J229" s="47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</row>
    <row r="230" spans="2:24" x14ac:dyDescent="0.25">
      <c r="B230" s="46"/>
      <c r="C230" s="47"/>
      <c r="D230" s="47"/>
      <c r="E230" s="47"/>
      <c r="F230" s="47"/>
      <c r="G230" s="47"/>
      <c r="H230" s="47"/>
      <c r="I230" s="47"/>
      <c r="J230" s="47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</row>
    <row r="231" spans="2:24" x14ac:dyDescent="0.25">
      <c r="B231" s="46"/>
      <c r="C231" s="47"/>
      <c r="D231" s="47"/>
      <c r="E231" s="47"/>
      <c r="F231" s="47"/>
      <c r="G231" s="47"/>
      <c r="H231" s="47"/>
      <c r="I231" s="47"/>
      <c r="J231" s="47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 spans="2:24" x14ac:dyDescent="0.25">
      <c r="B232" s="46"/>
      <c r="C232" s="47"/>
      <c r="D232" s="47"/>
      <c r="E232" s="47"/>
      <c r="F232" s="47"/>
      <c r="G232" s="47"/>
      <c r="H232" s="47"/>
      <c r="I232" s="47"/>
      <c r="J232" s="47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</row>
    <row r="233" spans="2:24" x14ac:dyDescent="0.25">
      <c r="B233" s="46"/>
      <c r="C233" s="47"/>
      <c r="D233" s="47"/>
      <c r="E233" s="47"/>
      <c r="F233" s="47"/>
      <c r="G233" s="47"/>
      <c r="H233" s="47"/>
      <c r="I233" s="47"/>
      <c r="J233" s="47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</row>
    <row r="234" spans="2:24" x14ac:dyDescent="0.25">
      <c r="B234" s="46"/>
      <c r="C234" s="47"/>
      <c r="D234" s="47"/>
      <c r="E234" s="47"/>
      <c r="F234" s="47"/>
      <c r="G234" s="47"/>
      <c r="H234" s="47"/>
      <c r="I234" s="47"/>
      <c r="J234" s="47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</row>
    <row r="235" spans="2:24" x14ac:dyDescent="0.25">
      <c r="B235" s="46"/>
      <c r="C235" s="47"/>
      <c r="D235" s="47"/>
      <c r="E235" s="47"/>
      <c r="F235" s="47"/>
      <c r="G235" s="47"/>
      <c r="H235" s="47"/>
      <c r="I235" s="47"/>
      <c r="J235" s="47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</row>
    <row r="236" spans="2:24" x14ac:dyDescent="0.25">
      <c r="B236" s="46"/>
      <c r="C236" s="47"/>
      <c r="D236" s="47"/>
      <c r="E236" s="47"/>
      <c r="F236" s="47"/>
      <c r="G236" s="47"/>
      <c r="H236" s="47"/>
      <c r="I236" s="47"/>
      <c r="J236" s="47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</row>
    <row r="237" spans="2:24" x14ac:dyDescent="0.25">
      <c r="B237" s="46"/>
      <c r="C237" s="47"/>
      <c r="D237" s="47"/>
      <c r="E237" s="47"/>
      <c r="F237" s="47"/>
      <c r="G237" s="47"/>
      <c r="H237" s="47"/>
      <c r="I237" s="47"/>
      <c r="J237" s="47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</row>
    <row r="238" spans="2:24" x14ac:dyDescent="0.25">
      <c r="B238" s="46"/>
      <c r="C238" s="47"/>
      <c r="D238" s="47"/>
      <c r="E238" s="47"/>
      <c r="F238" s="47"/>
      <c r="G238" s="47"/>
      <c r="H238" s="47"/>
      <c r="I238" s="47"/>
      <c r="J238" s="47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</row>
    <row r="239" spans="2:24" x14ac:dyDescent="0.25">
      <c r="B239" s="46"/>
      <c r="C239" s="47"/>
      <c r="D239" s="47"/>
      <c r="E239" s="47"/>
      <c r="F239" s="47"/>
      <c r="G239" s="47"/>
      <c r="H239" s="47"/>
      <c r="I239" s="47"/>
      <c r="J239" s="47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</row>
    <row r="240" spans="2:24" x14ac:dyDescent="0.25">
      <c r="B240" s="46"/>
      <c r="C240" s="47"/>
      <c r="D240" s="47"/>
      <c r="E240" s="47"/>
      <c r="F240" s="47"/>
      <c r="G240" s="47"/>
      <c r="H240" s="47"/>
      <c r="I240" s="47"/>
      <c r="J240" s="47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</row>
    <row r="241" spans="2:24" x14ac:dyDescent="0.25">
      <c r="B241" s="46"/>
      <c r="C241" s="47"/>
      <c r="D241" s="47"/>
      <c r="E241" s="47"/>
      <c r="F241" s="47"/>
      <c r="G241" s="47"/>
      <c r="H241" s="47"/>
      <c r="I241" s="47"/>
      <c r="J241" s="47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</row>
    <row r="242" spans="2:24" x14ac:dyDescent="0.25">
      <c r="B242" s="46"/>
      <c r="C242" s="47"/>
      <c r="D242" s="47"/>
      <c r="E242" s="47"/>
      <c r="F242" s="47"/>
      <c r="G242" s="47"/>
      <c r="H242" s="47"/>
      <c r="I242" s="47"/>
      <c r="J242" s="47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</row>
    <row r="243" spans="2:24" x14ac:dyDescent="0.25">
      <c r="B243" s="46"/>
      <c r="C243" s="47"/>
      <c r="D243" s="47"/>
      <c r="E243" s="47"/>
      <c r="F243" s="47"/>
      <c r="G243" s="47"/>
      <c r="H243" s="47"/>
      <c r="I243" s="47"/>
      <c r="J243" s="47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</row>
    <row r="244" spans="2:24" x14ac:dyDescent="0.25">
      <c r="B244" s="46"/>
      <c r="C244" s="47"/>
      <c r="D244" s="47"/>
      <c r="E244" s="47"/>
      <c r="F244" s="47"/>
      <c r="G244" s="47"/>
      <c r="H244" s="47"/>
      <c r="I244" s="47"/>
      <c r="J244" s="47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</row>
    <row r="245" spans="2:24" x14ac:dyDescent="0.25">
      <c r="B245" s="46"/>
      <c r="C245" s="47"/>
      <c r="D245" s="47"/>
      <c r="E245" s="47"/>
      <c r="F245" s="47"/>
      <c r="G245" s="47"/>
      <c r="H245" s="47"/>
      <c r="I245" s="47"/>
      <c r="J245" s="47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</row>
    <row r="246" spans="2:24" x14ac:dyDescent="0.25">
      <c r="B246" s="46"/>
      <c r="C246" s="47"/>
      <c r="D246" s="47"/>
      <c r="E246" s="47"/>
      <c r="F246" s="47"/>
      <c r="G246" s="47"/>
      <c r="H246" s="47"/>
      <c r="I246" s="47"/>
      <c r="J246" s="47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</row>
    <row r="247" spans="2:24" x14ac:dyDescent="0.25">
      <c r="B247" s="46"/>
      <c r="C247" s="47"/>
      <c r="D247" s="47"/>
      <c r="E247" s="47"/>
      <c r="F247" s="47"/>
      <c r="G247" s="47"/>
      <c r="H247" s="47"/>
      <c r="I247" s="47"/>
      <c r="J247" s="47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</row>
    <row r="248" spans="2:24" x14ac:dyDescent="0.25">
      <c r="B248" s="46"/>
      <c r="C248" s="47"/>
      <c r="D248" s="47"/>
      <c r="E248" s="47"/>
      <c r="F248" s="47"/>
      <c r="G248" s="47"/>
      <c r="H248" s="47"/>
      <c r="I248" s="47"/>
      <c r="J248" s="47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</row>
    <row r="249" spans="2:24" x14ac:dyDescent="0.25">
      <c r="B249" s="46"/>
      <c r="C249" s="47"/>
      <c r="D249" s="47"/>
      <c r="E249" s="47"/>
      <c r="F249" s="47"/>
      <c r="G249" s="47"/>
      <c r="H249" s="47"/>
      <c r="I249" s="47"/>
      <c r="J249" s="47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</row>
    <row r="250" spans="2:24" x14ac:dyDescent="0.25">
      <c r="B250" s="46"/>
      <c r="C250" s="47"/>
      <c r="D250" s="47"/>
      <c r="E250" s="47"/>
      <c r="F250" s="47"/>
      <c r="G250" s="47"/>
      <c r="H250" s="47"/>
      <c r="I250" s="47"/>
      <c r="J250" s="47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</row>
    <row r="251" spans="2:24" x14ac:dyDescent="0.25">
      <c r="B251" s="46"/>
      <c r="C251" s="47"/>
      <c r="D251" s="47"/>
      <c r="E251" s="47"/>
      <c r="F251" s="47"/>
      <c r="G251" s="47"/>
      <c r="H251" s="47"/>
      <c r="I251" s="47"/>
      <c r="J251" s="47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</row>
    <row r="252" spans="2:24" x14ac:dyDescent="0.25">
      <c r="B252" s="46"/>
      <c r="C252" s="47"/>
      <c r="D252" s="47"/>
      <c r="E252" s="47"/>
      <c r="F252" s="47"/>
      <c r="G252" s="47"/>
      <c r="H252" s="47"/>
      <c r="I252" s="47"/>
      <c r="J252" s="47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</row>
    <row r="253" spans="2:24" x14ac:dyDescent="0.25">
      <c r="B253" s="46"/>
      <c r="C253" s="47"/>
      <c r="D253" s="47"/>
      <c r="E253" s="47"/>
      <c r="F253" s="47"/>
      <c r="G253" s="47"/>
      <c r="H253" s="47"/>
      <c r="I253" s="47"/>
      <c r="J253" s="47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</row>
    <row r="254" spans="2:24" x14ac:dyDescent="0.25">
      <c r="B254" s="46"/>
      <c r="C254" s="47"/>
      <c r="D254" s="47"/>
      <c r="E254" s="47"/>
      <c r="F254" s="47"/>
      <c r="G254" s="47"/>
      <c r="H254" s="47"/>
      <c r="I254" s="47"/>
      <c r="J254" s="47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</row>
    <row r="255" spans="2:24" x14ac:dyDescent="0.25">
      <c r="B255" s="46"/>
      <c r="C255" s="47"/>
      <c r="D255" s="47"/>
      <c r="E255" s="47"/>
      <c r="F255" s="47"/>
      <c r="G255" s="47"/>
      <c r="H255" s="47"/>
      <c r="I255" s="47"/>
      <c r="J255" s="47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</row>
    <row r="256" spans="2:24" x14ac:dyDescent="0.25">
      <c r="B256" s="46"/>
      <c r="C256" s="47"/>
      <c r="D256" s="47"/>
      <c r="E256" s="47"/>
      <c r="F256" s="47"/>
      <c r="G256" s="47"/>
      <c r="H256" s="47"/>
      <c r="I256" s="47"/>
      <c r="J256" s="47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</row>
    <row r="257" spans="2:24" x14ac:dyDescent="0.25">
      <c r="B257" s="46"/>
      <c r="C257" s="47"/>
      <c r="D257" s="47"/>
      <c r="E257" s="47"/>
      <c r="F257" s="47"/>
      <c r="G257" s="47"/>
      <c r="H257" s="47"/>
      <c r="I257" s="47"/>
      <c r="J257" s="47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</row>
    <row r="258" spans="2:24" x14ac:dyDescent="0.25">
      <c r="B258" s="46"/>
      <c r="C258" s="47"/>
      <c r="D258" s="47"/>
      <c r="E258" s="47"/>
      <c r="F258" s="47"/>
      <c r="G258" s="47"/>
      <c r="H258" s="47"/>
      <c r="I258" s="47"/>
      <c r="J258" s="47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</row>
    <row r="259" spans="2:24" x14ac:dyDescent="0.25">
      <c r="B259" s="46"/>
      <c r="C259" s="47"/>
      <c r="D259" s="47"/>
      <c r="E259" s="47"/>
      <c r="F259" s="47"/>
      <c r="G259" s="47"/>
      <c r="H259" s="47"/>
      <c r="I259" s="47"/>
      <c r="J259" s="47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</row>
    <row r="260" spans="2:24" x14ac:dyDescent="0.25">
      <c r="B260" s="46"/>
      <c r="C260" s="47"/>
      <c r="D260" s="47"/>
      <c r="E260" s="47"/>
      <c r="F260" s="47"/>
      <c r="G260" s="47"/>
      <c r="H260" s="47"/>
      <c r="I260" s="47"/>
      <c r="J260" s="47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</row>
    <row r="261" spans="2:24" x14ac:dyDescent="0.25">
      <c r="B261" s="46"/>
      <c r="C261" s="47"/>
      <c r="D261" s="47"/>
      <c r="E261" s="47"/>
      <c r="F261" s="47"/>
      <c r="G261" s="47"/>
      <c r="H261" s="47"/>
      <c r="I261" s="47"/>
      <c r="J261" s="47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</row>
    <row r="262" spans="2:24" x14ac:dyDescent="0.25">
      <c r="B262" s="46"/>
      <c r="C262" s="47"/>
      <c r="D262" s="47"/>
      <c r="E262" s="47"/>
      <c r="F262" s="47"/>
      <c r="G262" s="47"/>
      <c r="H262" s="47"/>
      <c r="I262" s="47"/>
      <c r="J262" s="47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</row>
    <row r="263" spans="2:24" x14ac:dyDescent="0.25">
      <c r="B263" s="46"/>
      <c r="C263" s="47"/>
      <c r="D263" s="47"/>
      <c r="E263" s="47"/>
      <c r="F263" s="47"/>
      <c r="G263" s="47"/>
      <c r="H263" s="47"/>
      <c r="I263" s="47"/>
      <c r="J263" s="47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</row>
    <row r="264" spans="2:24" x14ac:dyDescent="0.25">
      <c r="B264" s="46"/>
      <c r="C264" s="47"/>
      <c r="D264" s="47"/>
      <c r="E264" s="47"/>
      <c r="F264" s="47"/>
      <c r="G264" s="47"/>
      <c r="H264" s="47"/>
      <c r="I264" s="47"/>
      <c r="J264" s="47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</row>
    <row r="265" spans="2:24" x14ac:dyDescent="0.25">
      <c r="B265" s="46"/>
      <c r="C265" s="47"/>
      <c r="D265" s="47"/>
      <c r="E265" s="47"/>
      <c r="F265" s="47"/>
      <c r="G265" s="47"/>
      <c r="H265" s="47"/>
      <c r="I265" s="47"/>
      <c r="J265" s="47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</row>
    <row r="266" spans="2:24" x14ac:dyDescent="0.25">
      <c r="B266" s="46"/>
      <c r="C266" s="47"/>
      <c r="D266" s="47"/>
      <c r="E266" s="47"/>
      <c r="F266" s="47"/>
      <c r="G266" s="47"/>
      <c r="H266" s="47"/>
      <c r="I266" s="47"/>
      <c r="J266" s="47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</row>
    <row r="267" spans="2:24" x14ac:dyDescent="0.25">
      <c r="B267" s="46"/>
      <c r="C267" s="47"/>
      <c r="D267" s="47"/>
      <c r="E267" s="47"/>
      <c r="F267" s="47"/>
      <c r="G267" s="47"/>
      <c r="H267" s="47"/>
      <c r="I267" s="47"/>
      <c r="J267" s="47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</row>
    <row r="268" spans="2:24" x14ac:dyDescent="0.25">
      <c r="B268" s="46"/>
      <c r="C268" s="47"/>
      <c r="D268" s="47"/>
      <c r="E268" s="47"/>
      <c r="F268" s="47"/>
      <c r="G268" s="47"/>
      <c r="H268" s="47"/>
      <c r="I268" s="47"/>
      <c r="J268" s="47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</row>
    <row r="269" spans="2:24" x14ac:dyDescent="0.25">
      <c r="B269" s="46"/>
      <c r="C269" s="47"/>
      <c r="D269" s="47"/>
      <c r="E269" s="47"/>
      <c r="F269" s="47"/>
      <c r="G269" s="47"/>
      <c r="H269" s="47"/>
      <c r="I269" s="47"/>
      <c r="J269" s="47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</row>
    <row r="270" spans="2:24" x14ac:dyDescent="0.25">
      <c r="B270" s="46"/>
      <c r="C270" s="47"/>
      <c r="D270" s="47"/>
      <c r="E270" s="47"/>
      <c r="F270" s="47"/>
      <c r="G270" s="47"/>
      <c r="H270" s="47"/>
      <c r="I270" s="47"/>
      <c r="J270" s="47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</row>
    <row r="271" spans="2:24" x14ac:dyDescent="0.25">
      <c r="B271" s="46"/>
      <c r="C271" s="47"/>
      <c r="D271" s="47"/>
      <c r="E271" s="47"/>
      <c r="F271" s="47"/>
      <c r="G271" s="47"/>
      <c r="H271" s="47"/>
      <c r="I271" s="47"/>
      <c r="J271" s="47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</row>
    <row r="272" spans="2:24" x14ac:dyDescent="0.25">
      <c r="B272" s="46"/>
      <c r="C272" s="47"/>
      <c r="D272" s="47"/>
      <c r="E272" s="47"/>
      <c r="F272" s="47"/>
      <c r="G272" s="47"/>
      <c r="H272" s="47"/>
      <c r="I272" s="47"/>
      <c r="J272" s="47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</row>
    <row r="273" spans="2:24" x14ac:dyDescent="0.25">
      <c r="B273" s="46"/>
      <c r="C273" s="47"/>
      <c r="D273" s="47"/>
      <c r="E273" s="47"/>
      <c r="F273" s="47"/>
      <c r="G273" s="47"/>
      <c r="H273" s="47"/>
      <c r="I273" s="47"/>
      <c r="J273" s="47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</row>
  </sheetData>
  <mergeCells count="18">
    <mergeCell ref="I16:I17"/>
    <mergeCell ref="J16:J17"/>
    <mergeCell ref="G2:G3"/>
    <mergeCell ref="H2:H3"/>
    <mergeCell ref="I2:I3"/>
    <mergeCell ref="J2:J3"/>
    <mergeCell ref="G16:G17"/>
    <mergeCell ref="H16:H17"/>
    <mergeCell ref="B16:B17"/>
    <mergeCell ref="C16:C17"/>
    <mergeCell ref="D16:D17"/>
    <mergeCell ref="E16:E17"/>
    <mergeCell ref="F16:F17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Product Margin Analysis</vt:lpstr>
      <vt:lpstr>Product Revenue Analysis</vt:lpstr>
      <vt:lpstr>Installer Analysis</vt:lpstr>
      <vt:lpstr>Designer Analysis</vt:lpstr>
      <vt:lpstr>Sales Location Analysis</vt:lpstr>
      <vt:lpstr>Sales by month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user</cp:lastModifiedBy>
  <cp:lastPrinted>2019-09-13T20:32:08Z</cp:lastPrinted>
  <dcterms:created xsi:type="dcterms:W3CDTF">2015-06-16T16:58:48Z</dcterms:created>
  <dcterms:modified xsi:type="dcterms:W3CDTF">2024-02-19T16:54:00Z</dcterms:modified>
</cp:coreProperties>
</file>