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4.xml" ContentType="application/vnd.openxmlformats-officedocument.themeOverrid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5.xml" ContentType="application/vnd.openxmlformats-officedocument.themeOverrid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heme/themeOverride6.xml" ContentType="application/vnd.openxmlformats-officedocument.themeOverrid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7.xml" ContentType="application/vnd.openxmlformats-officedocument.themeOverrid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theme/themeOverride8.xml" ContentType="application/vnd.openxmlformats-officedocument.themeOverrid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heme/themeOverride9.xml" ContentType="application/vnd.openxmlformats-officedocument.themeOverrid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theme/themeOverride10.xml" ContentType="application/vnd.openxmlformats-officedocument.themeOverride+xml"/>
  <Override PartName="/xl/drawings/drawing5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theme/themeOverride11.xml" ContentType="application/vnd.openxmlformats-officedocument.themeOverrid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theme/themeOverride12.xml" ContentType="application/vnd.openxmlformats-officedocument.themeOverrid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theme/themeOverride13.xml" ContentType="application/vnd.openxmlformats-officedocument.themeOverrid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theme/themeOverride14.xml" ContentType="application/vnd.openxmlformats-officedocument.themeOverride+xml"/>
  <Override PartName="/xl/drawings/drawing6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theme/themeOverride15.xml" ContentType="application/vnd.openxmlformats-officedocument.themeOverrid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theme/themeOverride16.xml" ContentType="application/vnd.openxmlformats-officedocument.themeOverrid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theme/themeOverride17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Z:\Commission - Job Cost\2021\"/>
    </mc:Choice>
  </mc:AlternateContent>
  <bookViews>
    <workbookView xWindow="-120" yWindow="-120" windowWidth="29040" windowHeight="15840" tabRatio="488"/>
  </bookViews>
  <sheets>
    <sheet name="Raw Data" sheetId="1" r:id="rId1"/>
    <sheet name="Product Margin Analysis" sheetId="7" r:id="rId2"/>
    <sheet name="Product Revenue Analysis" sheetId="8" r:id="rId3"/>
    <sheet name="Installer Analysis" sheetId="9" r:id="rId4"/>
    <sheet name="Designer Analysis" sheetId="10" r:id="rId5"/>
    <sheet name="Sales Location Analysis" sheetId="11" r:id="rId6"/>
    <sheet name="Sales by month" sheetId="13" r:id="rId7"/>
  </sheets>
  <definedNames>
    <definedName name="_xlnm._FilterDatabase" localSheetId="4" hidden="1">'Designer Analysis'!#REF!</definedName>
    <definedName name="_xlnm._FilterDatabase" localSheetId="3" hidden="1">'Installer Analysis'!#REF!</definedName>
    <definedName name="_xlnm._FilterDatabase" localSheetId="1" hidden="1">'Product Margin Analysis'!#REF!</definedName>
    <definedName name="_xlnm._FilterDatabase" localSheetId="2" hidden="1">'Product Revenue Analysis'!#REF!</definedName>
    <definedName name="_xlnm._FilterDatabase" localSheetId="0" hidden="1">'Raw Data'!$B$4:$Q$242</definedName>
    <definedName name="_xlnm._FilterDatabase" localSheetId="6" hidden="1">'Sales by month'!#REF!</definedName>
    <definedName name="_xlnm._FilterDatabase" localSheetId="5" hidden="1">'Sales Location Analysis'!#REF!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35" i="1" l="1"/>
  <c r="J233" i="1" l="1"/>
  <c r="M234" i="1" l="1"/>
  <c r="K234" i="1"/>
  <c r="M233" i="1"/>
  <c r="K233" i="1"/>
  <c r="M232" i="1"/>
  <c r="K232" i="1"/>
  <c r="M231" i="1"/>
  <c r="K231" i="1"/>
  <c r="M230" i="1"/>
  <c r="K230" i="1"/>
  <c r="M229" i="1"/>
  <c r="K229" i="1"/>
  <c r="M228" i="1"/>
  <c r="K228" i="1"/>
  <c r="M227" i="1"/>
  <c r="K227" i="1"/>
  <c r="M238" i="1"/>
  <c r="K238" i="1"/>
  <c r="M237" i="1"/>
  <c r="K237" i="1"/>
  <c r="M236" i="1"/>
  <c r="K236" i="1"/>
  <c r="M235" i="1"/>
  <c r="K235" i="1"/>
  <c r="M240" i="1"/>
  <c r="K240" i="1"/>
  <c r="M239" i="1"/>
  <c r="K239" i="1"/>
  <c r="J204" i="1" l="1"/>
  <c r="I3" i="1" l="1"/>
  <c r="J97" i="1" l="1"/>
  <c r="J213" i="1"/>
  <c r="J193" i="1"/>
  <c r="L191" i="1" l="1"/>
  <c r="J187" i="1" l="1"/>
  <c r="J166" i="1" l="1"/>
  <c r="J159" i="1" l="1"/>
  <c r="J155" i="1" l="1"/>
  <c r="C5" i="11" l="1"/>
  <c r="D5" i="11"/>
  <c r="E5" i="11"/>
  <c r="G5" i="11"/>
  <c r="K195" i="1" l="1"/>
  <c r="M195" i="1"/>
  <c r="K196" i="1"/>
  <c r="M196" i="1"/>
  <c r="K197" i="1"/>
  <c r="M197" i="1"/>
  <c r="K198" i="1"/>
  <c r="M198" i="1"/>
  <c r="K199" i="1"/>
  <c r="M199" i="1"/>
  <c r="K200" i="1"/>
  <c r="M200" i="1"/>
  <c r="K201" i="1"/>
  <c r="M201" i="1"/>
  <c r="K202" i="1"/>
  <c r="M202" i="1"/>
  <c r="K203" i="1"/>
  <c r="M203" i="1"/>
  <c r="K204" i="1"/>
  <c r="M204" i="1"/>
  <c r="K205" i="1"/>
  <c r="M205" i="1"/>
  <c r="K206" i="1"/>
  <c r="M206" i="1"/>
  <c r="K207" i="1"/>
  <c r="M207" i="1"/>
  <c r="K208" i="1"/>
  <c r="M208" i="1"/>
  <c r="K209" i="1"/>
  <c r="M209" i="1"/>
  <c r="K210" i="1"/>
  <c r="M210" i="1"/>
  <c r="K211" i="1"/>
  <c r="M211" i="1"/>
  <c r="K212" i="1"/>
  <c r="M212" i="1"/>
  <c r="K213" i="1"/>
  <c r="M213" i="1"/>
  <c r="K214" i="1"/>
  <c r="M214" i="1"/>
  <c r="K215" i="1"/>
  <c r="M215" i="1"/>
  <c r="K216" i="1"/>
  <c r="M216" i="1"/>
  <c r="K217" i="1"/>
  <c r="M217" i="1"/>
  <c r="K218" i="1"/>
  <c r="M218" i="1"/>
  <c r="K219" i="1"/>
  <c r="M219" i="1"/>
  <c r="K220" i="1"/>
  <c r="M220" i="1"/>
  <c r="K221" i="1"/>
  <c r="M221" i="1"/>
  <c r="K222" i="1"/>
  <c r="M222" i="1"/>
  <c r="K223" i="1"/>
  <c r="M223" i="1"/>
  <c r="K224" i="1"/>
  <c r="M224" i="1"/>
  <c r="K225" i="1"/>
  <c r="M225" i="1"/>
  <c r="K226" i="1"/>
  <c r="M226" i="1"/>
  <c r="K241" i="1"/>
  <c r="M241" i="1"/>
  <c r="K242" i="1"/>
  <c r="M242" i="1"/>
  <c r="K171" i="1"/>
  <c r="M171" i="1"/>
  <c r="K172" i="1"/>
  <c r="M172" i="1"/>
  <c r="K173" i="1"/>
  <c r="M173" i="1"/>
  <c r="K174" i="1"/>
  <c r="M174" i="1"/>
  <c r="K175" i="1"/>
  <c r="M175" i="1"/>
  <c r="K176" i="1"/>
  <c r="M176" i="1"/>
  <c r="K177" i="1"/>
  <c r="M177" i="1"/>
  <c r="K178" i="1"/>
  <c r="M178" i="1"/>
  <c r="K179" i="1"/>
  <c r="M179" i="1"/>
  <c r="K180" i="1"/>
  <c r="M180" i="1"/>
  <c r="K181" i="1"/>
  <c r="M181" i="1"/>
  <c r="K182" i="1"/>
  <c r="M182" i="1"/>
  <c r="K183" i="1"/>
  <c r="M183" i="1"/>
  <c r="K184" i="1"/>
  <c r="M184" i="1"/>
  <c r="K185" i="1"/>
  <c r="M185" i="1"/>
  <c r="K186" i="1"/>
  <c r="M186" i="1"/>
  <c r="K187" i="1"/>
  <c r="M187" i="1"/>
  <c r="K188" i="1"/>
  <c r="M188" i="1"/>
  <c r="K189" i="1"/>
  <c r="M189" i="1"/>
  <c r="K190" i="1"/>
  <c r="M190" i="1"/>
  <c r="K191" i="1"/>
  <c r="M191" i="1"/>
  <c r="K192" i="1"/>
  <c r="M192" i="1"/>
  <c r="K193" i="1"/>
  <c r="M193" i="1"/>
  <c r="K194" i="1"/>
  <c r="M194" i="1"/>
  <c r="K148" i="1"/>
  <c r="M148" i="1"/>
  <c r="K149" i="1"/>
  <c r="M149" i="1"/>
  <c r="K150" i="1"/>
  <c r="M150" i="1"/>
  <c r="K151" i="1"/>
  <c r="M151" i="1"/>
  <c r="K152" i="1"/>
  <c r="M152" i="1"/>
  <c r="K153" i="1"/>
  <c r="M153" i="1"/>
  <c r="K154" i="1"/>
  <c r="M154" i="1"/>
  <c r="K155" i="1"/>
  <c r="M155" i="1"/>
  <c r="K156" i="1"/>
  <c r="M156" i="1"/>
  <c r="K157" i="1"/>
  <c r="M157" i="1"/>
  <c r="K158" i="1"/>
  <c r="M158" i="1"/>
  <c r="K159" i="1"/>
  <c r="M159" i="1"/>
  <c r="K160" i="1"/>
  <c r="M160" i="1"/>
  <c r="K161" i="1"/>
  <c r="M161" i="1"/>
  <c r="K162" i="1"/>
  <c r="M162" i="1"/>
  <c r="K163" i="1"/>
  <c r="M163" i="1"/>
  <c r="K164" i="1"/>
  <c r="M164" i="1"/>
  <c r="K165" i="1"/>
  <c r="M165" i="1"/>
  <c r="K166" i="1"/>
  <c r="M166" i="1"/>
  <c r="K167" i="1"/>
  <c r="M167" i="1"/>
  <c r="K168" i="1"/>
  <c r="M168" i="1"/>
  <c r="K169" i="1"/>
  <c r="M169" i="1"/>
  <c r="K170" i="1"/>
  <c r="M170" i="1"/>
  <c r="E5" i="9" l="1"/>
  <c r="E6" i="9"/>
  <c r="E7" i="9"/>
  <c r="E8" i="9"/>
  <c r="E9" i="9"/>
  <c r="E10" i="9"/>
  <c r="E11" i="9"/>
  <c r="E4" i="9"/>
  <c r="E12" i="9" l="1"/>
  <c r="E16" i="8"/>
  <c r="D16" i="8"/>
  <c r="C6" i="11" l="1"/>
  <c r="D6" i="11"/>
  <c r="E6" i="11"/>
  <c r="G6" i="11"/>
  <c r="C7" i="11"/>
  <c r="D7" i="11"/>
  <c r="E7" i="11"/>
  <c r="G7" i="11"/>
  <c r="C8" i="11"/>
  <c r="D8" i="11"/>
  <c r="E8" i="11"/>
  <c r="G8" i="11"/>
  <c r="C9" i="11"/>
  <c r="D9" i="11"/>
  <c r="E9" i="11"/>
  <c r="G9" i="11"/>
  <c r="C10" i="11"/>
  <c r="D10" i="11"/>
  <c r="E10" i="11"/>
  <c r="G10" i="11"/>
  <c r="C11" i="11"/>
  <c r="D11" i="11"/>
  <c r="E11" i="11"/>
  <c r="G11" i="11"/>
  <c r="C12" i="11"/>
  <c r="D12" i="11"/>
  <c r="E12" i="11"/>
  <c r="G12" i="11"/>
  <c r="C13" i="11"/>
  <c r="D13" i="11"/>
  <c r="E13" i="11"/>
  <c r="G13" i="11"/>
  <c r="C14" i="11"/>
  <c r="D14" i="11"/>
  <c r="E14" i="11"/>
  <c r="G14" i="11"/>
  <c r="G4" i="11"/>
  <c r="E4" i="11"/>
  <c r="D4" i="11"/>
  <c r="C4" i="11"/>
  <c r="C5" i="10"/>
  <c r="D5" i="10"/>
  <c r="E5" i="10"/>
  <c r="H5" i="10"/>
  <c r="I5" i="10"/>
  <c r="J5" i="10"/>
  <c r="C6" i="10"/>
  <c r="D6" i="10"/>
  <c r="E6" i="10"/>
  <c r="H6" i="10"/>
  <c r="I6" i="10"/>
  <c r="J6" i="10"/>
  <c r="C7" i="10"/>
  <c r="D7" i="10"/>
  <c r="E7" i="10"/>
  <c r="H7" i="10"/>
  <c r="I7" i="10"/>
  <c r="J7" i="10"/>
  <c r="C8" i="10"/>
  <c r="D8" i="10"/>
  <c r="E8" i="10"/>
  <c r="H8" i="10"/>
  <c r="I8" i="10"/>
  <c r="J8" i="10"/>
  <c r="C9" i="10"/>
  <c r="D9" i="10"/>
  <c r="E9" i="10"/>
  <c r="H9" i="10"/>
  <c r="I9" i="10"/>
  <c r="J9" i="10"/>
  <c r="C10" i="10"/>
  <c r="D10" i="10"/>
  <c r="E10" i="10"/>
  <c r="H10" i="10"/>
  <c r="I10" i="10"/>
  <c r="J10" i="10"/>
  <c r="J4" i="10"/>
  <c r="I4" i="10"/>
  <c r="H4" i="10"/>
  <c r="E4" i="10"/>
  <c r="D4" i="10"/>
  <c r="C4" i="10"/>
  <c r="F14" i="13"/>
  <c r="F15" i="13"/>
  <c r="E13" i="13"/>
  <c r="E14" i="13"/>
  <c r="E15" i="13"/>
  <c r="E5" i="13"/>
  <c r="E6" i="13"/>
  <c r="E7" i="13"/>
  <c r="E8" i="13"/>
  <c r="E9" i="13"/>
  <c r="E10" i="13"/>
  <c r="E11" i="13"/>
  <c r="E12" i="13"/>
  <c r="D5" i="13"/>
  <c r="D6" i="13"/>
  <c r="D7" i="13"/>
  <c r="D8" i="13"/>
  <c r="D9" i="13"/>
  <c r="D10" i="13"/>
  <c r="D11" i="13"/>
  <c r="D12" i="13"/>
  <c r="D13" i="13"/>
  <c r="D14" i="13"/>
  <c r="D15" i="13"/>
  <c r="E4" i="13"/>
  <c r="D4" i="13"/>
  <c r="C6" i="13" l="1"/>
  <c r="C7" i="13"/>
  <c r="C8" i="13"/>
  <c r="C9" i="13"/>
  <c r="C10" i="13"/>
  <c r="C11" i="13"/>
  <c r="C12" i="13"/>
  <c r="C13" i="13"/>
  <c r="C14" i="13"/>
  <c r="C15" i="13"/>
  <c r="C4" i="13"/>
  <c r="C5" i="13"/>
  <c r="C16" i="13" l="1"/>
  <c r="D16" i="13"/>
  <c r="E16" i="13" l="1"/>
  <c r="J128" i="1" l="1"/>
  <c r="D15" i="11" l="1"/>
  <c r="G15" i="11"/>
  <c r="E15" i="11"/>
  <c r="C15" i="11"/>
  <c r="I11" i="10"/>
  <c r="E18" i="8"/>
  <c r="D18" i="8"/>
  <c r="E17" i="8"/>
  <c r="D17" i="8"/>
  <c r="D27" i="8" s="1"/>
  <c r="E15" i="8"/>
  <c r="D15" i="8"/>
  <c r="E14" i="8"/>
  <c r="D14" i="8"/>
  <c r="E13" i="8"/>
  <c r="D13" i="8"/>
  <c r="E12" i="8"/>
  <c r="D12" i="8"/>
  <c r="E11" i="8"/>
  <c r="D11" i="8"/>
  <c r="E10" i="8"/>
  <c r="D10" i="8"/>
  <c r="E9" i="8"/>
  <c r="D9" i="8"/>
  <c r="E8" i="8"/>
  <c r="D8" i="8"/>
  <c r="E7" i="8"/>
  <c r="D7" i="8"/>
  <c r="E6" i="8"/>
  <c r="D6" i="8"/>
  <c r="E5" i="8"/>
  <c r="E24" i="8" s="1"/>
  <c r="D5" i="8"/>
  <c r="D24" i="8" s="1"/>
  <c r="E4" i="8"/>
  <c r="E23" i="8" s="1"/>
  <c r="D4" i="8"/>
  <c r="D23" i="8" s="1"/>
  <c r="S339" i="1"/>
  <c r="M147" i="1"/>
  <c r="K147" i="1"/>
  <c r="M146" i="1"/>
  <c r="K146" i="1"/>
  <c r="M145" i="1"/>
  <c r="K145" i="1"/>
  <c r="M144" i="1"/>
  <c r="K144" i="1"/>
  <c r="M143" i="1"/>
  <c r="K143" i="1"/>
  <c r="M142" i="1"/>
  <c r="K142" i="1"/>
  <c r="M141" i="1"/>
  <c r="K141" i="1"/>
  <c r="M140" i="1"/>
  <c r="K140" i="1"/>
  <c r="F13" i="11" s="1"/>
  <c r="M139" i="1"/>
  <c r="K139" i="1"/>
  <c r="M138" i="1"/>
  <c r="K138" i="1"/>
  <c r="M137" i="1"/>
  <c r="K137" i="1"/>
  <c r="M136" i="1"/>
  <c r="K136" i="1"/>
  <c r="M135" i="1"/>
  <c r="K135" i="1"/>
  <c r="M134" i="1"/>
  <c r="K134" i="1"/>
  <c r="M133" i="1"/>
  <c r="K133" i="1"/>
  <c r="M132" i="1"/>
  <c r="K132" i="1"/>
  <c r="F12" i="13" s="1"/>
  <c r="M131" i="1"/>
  <c r="K131" i="1"/>
  <c r="M130" i="1"/>
  <c r="K130" i="1"/>
  <c r="M129" i="1"/>
  <c r="K129" i="1"/>
  <c r="M128" i="1"/>
  <c r="K128" i="1"/>
  <c r="M127" i="1"/>
  <c r="K127" i="1"/>
  <c r="M126" i="1"/>
  <c r="K126" i="1"/>
  <c r="M125" i="1"/>
  <c r="K125" i="1"/>
  <c r="M124" i="1"/>
  <c r="K124" i="1"/>
  <c r="M123" i="1"/>
  <c r="G7" i="10" s="1"/>
  <c r="K123" i="1"/>
  <c r="F7" i="10" s="1"/>
  <c r="M122" i="1"/>
  <c r="K122" i="1"/>
  <c r="M121" i="1"/>
  <c r="K121" i="1"/>
  <c r="M120" i="1"/>
  <c r="K120" i="1"/>
  <c r="M119" i="1"/>
  <c r="K119" i="1"/>
  <c r="M118" i="1"/>
  <c r="K118" i="1"/>
  <c r="M117" i="1"/>
  <c r="K117" i="1"/>
  <c r="M116" i="1"/>
  <c r="K116" i="1"/>
  <c r="M115" i="1"/>
  <c r="K115" i="1"/>
  <c r="M114" i="1"/>
  <c r="K114" i="1"/>
  <c r="M113" i="1"/>
  <c r="K113" i="1"/>
  <c r="M112" i="1"/>
  <c r="G8" i="10" s="1"/>
  <c r="K112" i="1"/>
  <c r="F8" i="10" s="1"/>
  <c r="M111" i="1"/>
  <c r="K111" i="1"/>
  <c r="M110" i="1"/>
  <c r="K110" i="1"/>
  <c r="M109" i="1"/>
  <c r="K109" i="1"/>
  <c r="M108" i="1"/>
  <c r="K108" i="1"/>
  <c r="M107" i="1"/>
  <c r="K107" i="1"/>
  <c r="M106" i="1"/>
  <c r="K106" i="1"/>
  <c r="M105" i="1"/>
  <c r="K105" i="1"/>
  <c r="M104" i="1"/>
  <c r="K104" i="1"/>
  <c r="M103" i="1"/>
  <c r="K103" i="1"/>
  <c r="M102" i="1"/>
  <c r="K102" i="1"/>
  <c r="M101" i="1"/>
  <c r="K101" i="1"/>
  <c r="M100" i="1"/>
  <c r="K100" i="1"/>
  <c r="M99" i="1"/>
  <c r="K99" i="1"/>
  <c r="D15" i="7" s="1"/>
  <c r="M98" i="1"/>
  <c r="K98" i="1"/>
  <c r="M97" i="1"/>
  <c r="K97" i="1"/>
  <c r="M96" i="1"/>
  <c r="K96" i="1"/>
  <c r="M95" i="1"/>
  <c r="K95" i="1"/>
  <c r="M94" i="1"/>
  <c r="K94" i="1"/>
  <c r="M93" i="1"/>
  <c r="K93" i="1"/>
  <c r="M92" i="1"/>
  <c r="K92" i="1"/>
  <c r="M91" i="1"/>
  <c r="K91" i="1"/>
  <c r="M90" i="1"/>
  <c r="K90" i="1"/>
  <c r="M89" i="1"/>
  <c r="K89" i="1"/>
  <c r="M88" i="1"/>
  <c r="K88" i="1"/>
  <c r="M87" i="1"/>
  <c r="K87" i="1"/>
  <c r="M86" i="1"/>
  <c r="K86" i="1"/>
  <c r="M85" i="1"/>
  <c r="K85" i="1"/>
  <c r="M84" i="1"/>
  <c r="K84" i="1"/>
  <c r="D16" i="7" s="1"/>
  <c r="M83" i="1"/>
  <c r="K83" i="1"/>
  <c r="M82" i="1"/>
  <c r="K82" i="1"/>
  <c r="M81" i="1"/>
  <c r="K81" i="1"/>
  <c r="M80" i="1"/>
  <c r="K80" i="1"/>
  <c r="M79" i="1"/>
  <c r="K79" i="1"/>
  <c r="M78" i="1"/>
  <c r="K78" i="1"/>
  <c r="M77" i="1"/>
  <c r="K77" i="1"/>
  <c r="M76" i="1"/>
  <c r="K76" i="1"/>
  <c r="M75" i="1"/>
  <c r="K75" i="1"/>
  <c r="M74" i="1"/>
  <c r="K74" i="1"/>
  <c r="M73" i="1"/>
  <c r="K73" i="1"/>
  <c r="M72" i="1"/>
  <c r="K72" i="1"/>
  <c r="M71" i="1"/>
  <c r="K71" i="1"/>
  <c r="M70" i="1"/>
  <c r="K70" i="1"/>
  <c r="D9" i="7" s="1"/>
  <c r="M69" i="1"/>
  <c r="K69" i="1"/>
  <c r="F12" i="11" s="1"/>
  <c r="M68" i="1"/>
  <c r="K68" i="1"/>
  <c r="M67" i="1"/>
  <c r="K67" i="1"/>
  <c r="D11" i="7" s="1"/>
  <c r="M66" i="1"/>
  <c r="K66" i="1"/>
  <c r="M65" i="1"/>
  <c r="K65" i="1"/>
  <c r="M64" i="1"/>
  <c r="K64" i="1"/>
  <c r="M63" i="1"/>
  <c r="K63" i="1"/>
  <c r="M62" i="1"/>
  <c r="K62" i="1"/>
  <c r="M61" i="1"/>
  <c r="K61" i="1"/>
  <c r="M60" i="1"/>
  <c r="K60" i="1"/>
  <c r="M59" i="1"/>
  <c r="K59" i="1"/>
  <c r="M58" i="1"/>
  <c r="K58" i="1"/>
  <c r="F6" i="11" s="1"/>
  <c r="M57" i="1"/>
  <c r="K57" i="1"/>
  <c r="M56" i="1"/>
  <c r="K56" i="1"/>
  <c r="M55" i="1"/>
  <c r="K55" i="1"/>
  <c r="M54" i="1"/>
  <c r="K54" i="1"/>
  <c r="M53" i="1"/>
  <c r="K53" i="1"/>
  <c r="M52" i="1"/>
  <c r="K52" i="1"/>
  <c r="M51" i="1"/>
  <c r="K51" i="1"/>
  <c r="M50" i="1"/>
  <c r="K50" i="1"/>
  <c r="M49" i="1"/>
  <c r="K49" i="1"/>
  <c r="M48" i="1"/>
  <c r="K48" i="1"/>
  <c r="M47" i="1"/>
  <c r="K47" i="1"/>
  <c r="M46" i="1"/>
  <c r="K46" i="1"/>
  <c r="M45" i="1"/>
  <c r="K45" i="1"/>
  <c r="M44" i="1"/>
  <c r="K44" i="1"/>
  <c r="M43" i="1"/>
  <c r="K43" i="1"/>
  <c r="M42" i="1"/>
  <c r="K42" i="1"/>
  <c r="M41" i="1"/>
  <c r="K41" i="1"/>
  <c r="M40" i="1"/>
  <c r="K40" i="1"/>
  <c r="M39" i="1"/>
  <c r="K39" i="1"/>
  <c r="M38" i="1"/>
  <c r="K38" i="1"/>
  <c r="M37" i="1"/>
  <c r="K37" i="1"/>
  <c r="M36" i="1"/>
  <c r="K36" i="1"/>
  <c r="M35" i="1"/>
  <c r="K35" i="1"/>
  <c r="M34" i="1"/>
  <c r="K34" i="1"/>
  <c r="M33" i="1"/>
  <c r="K33" i="1"/>
  <c r="M32" i="1"/>
  <c r="K32" i="1"/>
  <c r="M31" i="1"/>
  <c r="K31" i="1"/>
  <c r="M30" i="1"/>
  <c r="K30" i="1"/>
  <c r="D18" i="7" s="1"/>
  <c r="M29" i="1"/>
  <c r="K29" i="1"/>
  <c r="M28" i="1"/>
  <c r="K28" i="1"/>
  <c r="D9" i="9" s="1"/>
  <c r="M27" i="1"/>
  <c r="K27" i="1"/>
  <c r="M26" i="1"/>
  <c r="K26" i="1"/>
  <c r="M25" i="1"/>
  <c r="K25" i="1"/>
  <c r="M24" i="1"/>
  <c r="K24" i="1"/>
  <c r="M23" i="1"/>
  <c r="K23" i="1"/>
  <c r="J23" i="1"/>
  <c r="M22" i="1"/>
  <c r="K22" i="1"/>
  <c r="M21" i="1"/>
  <c r="K21" i="1"/>
  <c r="L20" i="1"/>
  <c r="M20" i="1" s="1"/>
  <c r="K20" i="1"/>
  <c r="M19" i="1"/>
  <c r="K19" i="1"/>
  <c r="M18" i="1"/>
  <c r="K18" i="1"/>
  <c r="F10" i="11" s="1"/>
  <c r="M17" i="1"/>
  <c r="K17" i="1"/>
  <c r="M16" i="1"/>
  <c r="K16" i="1"/>
  <c r="M15" i="1"/>
  <c r="K15" i="1"/>
  <c r="L14" i="1"/>
  <c r="M14" i="1" s="1"/>
  <c r="K14" i="1"/>
  <c r="L13" i="1"/>
  <c r="M13" i="1" s="1"/>
  <c r="K13" i="1"/>
  <c r="M12" i="1"/>
  <c r="K12" i="1"/>
  <c r="M11" i="1"/>
  <c r="K11" i="1"/>
  <c r="D7" i="9" s="1"/>
  <c r="M10" i="1"/>
  <c r="K10" i="1"/>
  <c r="L9" i="1"/>
  <c r="M9" i="1" s="1"/>
  <c r="K9" i="1"/>
  <c r="M8" i="1"/>
  <c r="K8" i="1"/>
  <c r="M7" i="1"/>
  <c r="K7" i="1"/>
  <c r="M6" i="1"/>
  <c r="K6" i="1"/>
  <c r="B6" i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M5" i="1"/>
  <c r="K5" i="1"/>
  <c r="P3" i="1"/>
  <c r="O3" i="1"/>
  <c r="N3" i="1"/>
  <c r="L3" i="1"/>
  <c r="J3" i="1"/>
  <c r="B213" i="1" l="1"/>
  <c r="B214" i="1" s="1"/>
  <c r="D25" i="8"/>
  <c r="D10" i="9"/>
  <c r="F9" i="13"/>
  <c r="F14" i="11"/>
  <c r="F11" i="13"/>
  <c r="F8" i="11"/>
  <c r="D5" i="7"/>
  <c r="D24" i="7" s="1"/>
  <c r="F8" i="13"/>
  <c r="F11" i="11"/>
  <c r="F4" i="10"/>
  <c r="F7" i="11"/>
  <c r="D13" i="7"/>
  <c r="F10" i="13"/>
  <c r="D6" i="9"/>
  <c r="E27" i="8"/>
  <c r="G4" i="10"/>
  <c r="D26" i="8"/>
  <c r="E26" i="8"/>
  <c r="F13" i="13"/>
  <c r="F5" i="11"/>
  <c r="G5" i="10"/>
  <c r="G9" i="10"/>
  <c r="E25" i="8"/>
  <c r="G6" i="10"/>
  <c r="F10" i="10"/>
  <c r="D8" i="9"/>
  <c r="F9" i="11"/>
  <c r="G10" i="10"/>
  <c r="D5" i="9"/>
  <c r="F9" i="10"/>
  <c r="F4" i="11"/>
  <c r="F5" i="10"/>
  <c r="F5" i="13"/>
  <c r="D4" i="9"/>
  <c r="L8" i="9" s="1"/>
  <c r="F6" i="10"/>
  <c r="D17" i="7"/>
  <c r="D27" i="7" s="1"/>
  <c r="D11" i="9"/>
  <c r="F6" i="13"/>
  <c r="L4" i="8"/>
  <c r="F4" i="13"/>
  <c r="F7" i="13"/>
  <c r="E19" i="8"/>
  <c r="D12" i="7"/>
  <c r="D11" i="10"/>
  <c r="C11" i="10"/>
  <c r="K3" i="1"/>
  <c r="D4" i="7"/>
  <c r="D23" i="7" s="1"/>
  <c r="D6" i="7"/>
  <c r="D7" i="7"/>
  <c r="D19" i="8"/>
  <c r="E11" i="10"/>
  <c r="H11" i="10"/>
  <c r="J11" i="10"/>
  <c r="M3" i="1"/>
  <c r="D8" i="7"/>
  <c r="D14" i="7"/>
  <c r="D10" i="7"/>
  <c r="B215" i="1" l="1"/>
  <c r="B216" i="1" s="1"/>
  <c r="F16" i="13"/>
  <c r="F11" i="10"/>
  <c r="D25" i="7"/>
  <c r="D26" i="7"/>
  <c r="D28" i="7"/>
  <c r="D19" i="7"/>
  <c r="K4" i="7"/>
  <c r="F15" i="11"/>
  <c r="G11" i="10"/>
  <c r="D12" i="9"/>
  <c r="B217" i="1" l="1"/>
  <c r="B218" i="1" s="1"/>
  <c r="B219" i="1" l="1"/>
  <c r="B220" i="1" s="1"/>
  <c r="B221" i="1" l="1"/>
  <c r="B222" i="1" s="1"/>
  <c r="B223" i="1" l="1"/>
  <c r="B224" i="1" s="1"/>
  <c r="B225" i="1" l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</calcChain>
</file>

<file path=xl/sharedStrings.xml><?xml version="1.0" encoding="utf-8"?>
<sst xmlns="http://schemas.openxmlformats.org/spreadsheetml/2006/main" count="1324" uniqueCount="337">
  <si>
    <t>Contract Date</t>
  </si>
  <si>
    <t>Direct Costs</t>
  </si>
  <si>
    <t>Product</t>
  </si>
  <si>
    <t>Net Sale</t>
  </si>
  <si>
    <t>Margin</t>
  </si>
  <si>
    <t>Comm $</t>
  </si>
  <si>
    <t>Comm %</t>
  </si>
  <si>
    <t>Customer</t>
  </si>
  <si>
    <t>Installer</t>
  </si>
  <si>
    <t>City</t>
  </si>
  <si>
    <t>Over (Under) Par</t>
  </si>
  <si>
    <t>Addtl Incent</t>
  </si>
  <si>
    <t xml:space="preserve">  </t>
  </si>
  <si>
    <t>W (A)</t>
  </si>
  <si>
    <t>IR</t>
  </si>
  <si>
    <t>Don</t>
  </si>
  <si>
    <t>B</t>
  </si>
  <si>
    <t>Chris M.</t>
  </si>
  <si>
    <t>K</t>
  </si>
  <si>
    <t>LC</t>
  </si>
  <si>
    <t>W</t>
  </si>
  <si>
    <t>OP</t>
  </si>
  <si>
    <t>Designer</t>
  </si>
  <si>
    <t>Average Margin</t>
  </si>
  <si>
    <t>VP</t>
  </si>
  <si>
    <t>#</t>
  </si>
  <si>
    <t>MW</t>
  </si>
  <si>
    <t>Romo</t>
  </si>
  <si>
    <t>Stover</t>
  </si>
  <si>
    <t>Nolan</t>
  </si>
  <si>
    <t>Margin drops to 54% with credit card fees</t>
  </si>
  <si>
    <t>ABQ</t>
  </si>
  <si>
    <t>Candelaria</t>
  </si>
  <si>
    <t>FP</t>
  </si>
  <si>
    <t>BS</t>
  </si>
  <si>
    <t>Loveless</t>
  </si>
  <si>
    <t>Garner</t>
  </si>
  <si>
    <t>Skeen</t>
  </si>
  <si>
    <t>Nic R.</t>
  </si>
  <si>
    <t>Reeves</t>
  </si>
  <si>
    <t xml:space="preserve">Brad H. </t>
  </si>
  <si>
    <t>Kolkmeyer</t>
  </si>
  <si>
    <t>55% margin with credit card fees.</t>
  </si>
  <si>
    <t>CD</t>
  </si>
  <si>
    <t>Gore</t>
  </si>
  <si>
    <t>Manuel</t>
  </si>
  <si>
    <t>St. John</t>
  </si>
  <si>
    <t>Ortiz Y Pino</t>
  </si>
  <si>
    <t>Rosenberg</t>
  </si>
  <si>
    <t>Esquivel</t>
  </si>
  <si>
    <t>Sandia Park</t>
  </si>
  <si>
    <t>Pfeiffer</t>
  </si>
  <si>
    <t>47% with credit card fees</t>
  </si>
  <si>
    <t>Credit Card Fees</t>
  </si>
  <si>
    <t>Keyser</t>
  </si>
  <si>
    <t>King/Vickrey #2</t>
  </si>
  <si>
    <t>Sedillo</t>
  </si>
  <si>
    <t>Hicks</t>
  </si>
  <si>
    <t>Bachman</t>
  </si>
  <si>
    <t>Ouzts</t>
  </si>
  <si>
    <t>Nicasio</t>
  </si>
  <si>
    <t>Ford</t>
  </si>
  <si>
    <t>Lopez</t>
  </si>
  <si>
    <t>Avila</t>
  </si>
  <si>
    <t>Schmick</t>
  </si>
  <si>
    <t>Mendoza</t>
  </si>
  <si>
    <t>McLain</t>
  </si>
  <si>
    <t>Roda</t>
  </si>
  <si>
    <t>Weaver</t>
  </si>
  <si>
    <t>Reed</t>
  </si>
  <si>
    <t>Rieder</t>
  </si>
  <si>
    <t>Orr, Bath</t>
  </si>
  <si>
    <t>Purvis</t>
  </si>
  <si>
    <t>Jury</t>
  </si>
  <si>
    <t>Sternod</t>
  </si>
  <si>
    <t>Sellers</t>
  </si>
  <si>
    <t>Dewart</t>
  </si>
  <si>
    <t>Orr, Kitchen</t>
  </si>
  <si>
    <t>Lohkamp</t>
  </si>
  <si>
    <t>Raab</t>
  </si>
  <si>
    <t>Perry</t>
  </si>
  <si>
    <t>Staten</t>
  </si>
  <si>
    <t>Santa Fe</t>
  </si>
  <si>
    <t>Lau</t>
  </si>
  <si>
    <t>Rubinchik</t>
  </si>
  <si>
    <t>Nakos</t>
  </si>
  <si>
    <t>Mills</t>
  </si>
  <si>
    <t>Kramer</t>
  </si>
  <si>
    <t>Garcia, Felix</t>
  </si>
  <si>
    <t>BH</t>
  </si>
  <si>
    <t>Scalo</t>
  </si>
  <si>
    <t>Lavigne</t>
  </si>
  <si>
    <t>Kercher</t>
  </si>
  <si>
    <t>Audette/Marksteiner</t>
  </si>
  <si>
    <t>Smallwood</t>
  </si>
  <si>
    <t>Logan / Keraren</t>
  </si>
  <si>
    <t>Morrison</t>
  </si>
  <si>
    <t>HIR</t>
  </si>
  <si>
    <t>Griego</t>
  </si>
  <si>
    <t>LJ</t>
  </si>
  <si>
    <t>Gonzalez</t>
  </si>
  <si>
    <t>Di Lorenzo</t>
  </si>
  <si>
    <t>Newman</t>
  </si>
  <si>
    <t>Cunico</t>
  </si>
  <si>
    <t>Hollingsworth</t>
  </si>
  <si>
    <t>Glissman</t>
  </si>
  <si>
    <t>Melaragno</t>
  </si>
  <si>
    <t>Taos</t>
  </si>
  <si>
    <t>Akarlilar</t>
  </si>
  <si>
    <t>Catco/Travis Ogle</t>
  </si>
  <si>
    <t>Ochoa</t>
  </si>
  <si>
    <t>Carson</t>
  </si>
  <si>
    <t>Besch</t>
  </si>
  <si>
    <t>Pickerel</t>
  </si>
  <si>
    <t>Hanish</t>
  </si>
  <si>
    <t>Rio Rancho</t>
  </si>
  <si>
    <t>Stockton</t>
  </si>
  <si>
    <t>Bailey</t>
  </si>
  <si>
    <t>Moore</t>
  </si>
  <si>
    <t>Valencia</t>
  </si>
  <si>
    <t>Schlie/francisco</t>
  </si>
  <si>
    <t>Donaldson</t>
  </si>
  <si>
    <t>Wilson</t>
  </si>
  <si>
    <t>Benco</t>
  </si>
  <si>
    <t>Trujillo</t>
  </si>
  <si>
    <t>Nivanh</t>
  </si>
  <si>
    <t>Brice</t>
  </si>
  <si>
    <t>Los Lunas</t>
  </si>
  <si>
    <t>Sparks</t>
  </si>
  <si>
    <t>Stroud</t>
  </si>
  <si>
    <t>Trist</t>
  </si>
  <si>
    <t>Los Alamos</t>
  </si>
  <si>
    <t>Simakov</t>
  </si>
  <si>
    <t>Hoque</t>
  </si>
  <si>
    <t>Dowd</t>
  </si>
  <si>
    <t>Stoller</t>
  </si>
  <si>
    <t>Hedrick</t>
  </si>
  <si>
    <t>Williams</t>
  </si>
  <si>
    <t>Anderson</t>
  </si>
  <si>
    <t>Bassak</t>
  </si>
  <si>
    <t>Murphy</t>
  </si>
  <si>
    <t>Lowell</t>
  </si>
  <si>
    <t>Jones</t>
  </si>
  <si>
    <t>Sanchez</t>
  </si>
  <si>
    <t>Butler</t>
  </si>
  <si>
    <t>Garcia, Nick&amp;Vicki</t>
  </si>
  <si>
    <t>Gallegos, Ubaldo</t>
  </si>
  <si>
    <t>Gaudette</t>
  </si>
  <si>
    <t>Dismuke</t>
  </si>
  <si>
    <t>Schindler</t>
  </si>
  <si>
    <t>Aguinaldo</t>
  </si>
  <si>
    <t>Van Zele</t>
  </si>
  <si>
    <t>Vallejos</t>
  </si>
  <si>
    <t>Cordova</t>
  </si>
  <si>
    <t>EN</t>
  </si>
  <si>
    <t>Soll</t>
  </si>
  <si>
    <t>Meyers</t>
  </si>
  <si>
    <t>Corbin, Master</t>
  </si>
  <si>
    <t>Foley</t>
  </si>
  <si>
    <t>MLM</t>
  </si>
  <si>
    <t>Rack</t>
  </si>
  <si>
    <t>Martinez, Tom (Guest)</t>
  </si>
  <si>
    <t>Martinez, Tom</t>
  </si>
  <si>
    <t>Evans</t>
  </si>
  <si>
    <t>Camp (Desk)</t>
  </si>
  <si>
    <t>Beverly</t>
  </si>
  <si>
    <t>Helms</t>
  </si>
  <si>
    <t>EK</t>
  </si>
  <si>
    <t>Benson</t>
  </si>
  <si>
    <t>Newton</t>
  </si>
  <si>
    <t>Chacon</t>
  </si>
  <si>
    <t>Aragon, Yolanda</t>
  </si>
  <si>
    <t>Martinez, Tom MB</t>
  </si>
  <si>
    <t>Willey</t>
  </si>
  <si>
    <t>Bowlin</t>
  </si>
  <si>
    <t>Magee</t>
  </si>
  <si>
    <t>White, Tyler. Bargiel, Jeff</t>
  </si>
  <si>
    <t>Gozales,Carmen</t>
  </si>
  <si>
    <t>Prentice</t>
  </si>
  <si>
    <t>Corbin, Elizabeth</t>
  </si>
  <si>
    <t>No commision sheet was turned in by mark because he knew he would not make any commision.</t>
  </si>
  <si>
    <t>Camp B</t>
  </si>
  <si>
    <t>Groman / Master Suit</t>
  </si>
  <si>
    <t>Carter</t>
  </si>
  <si>
    <t>Katz</t>
  </si>
  <si>
    <t>Tijeras</t>
  </si>
  <si>
    <t>Heffenger</t>
  </si>
  <si>
    <t>Bigney</t>
  </si>
  <si>
    <t>Notes</t>
  </si>
  <si>
    <t>OP-IR</t>
  </si>
  <si>
    <t>IR-LC</t>
  </si>
  <si>
    <t>IR-Sky</t>
  </si>
  <si>
    <t>SR-VV</t>
  </si>
  <si>
    <t>SR-306</t>
  </si>
  <si>
    <t>SR-206</t>
  </si>
  <si>
    <t>SR-406</t>
  </si>
  <si>
    <t>SCR-WO</t>
  </si>
  <si>
    <t>Overall average</t>
  </si>
  <si>
    <t>Sunroom</t>
  </si>
  <si>
    <t>Windows</t>
  </si>
  <si>
    <t>Patio Covers</t>
  </si>
  <si>
    <t>Kitchen &amp; Bath</t>
  </si>
  <si>
    <t>Category</t>
  </si>
  <si>
    <t>Average margin by product</t>
  </si>
  <si>
    <t>Average Sale</t>
  </si>
  <si>
    <t>FP-LC</t>
  </si>
  <si>
    <t>Overall average margin</t>
  </si>
  <si>
    <t>PC &amp; SR</t>
  </si>
  <si>
    <t>Total sales</t>
  </si>
  <si>
    <t>x̅ Sale</t>
  </si>
  <si>
    <t>x̅ Margin</t>
  </si>
  <si>
    <t>x̅ Comm %</t>
  </si>
  <si>
    <t>x̅ Over/Under</t>
  </si>
  <si>
    <t>x̅ Additional incentive</t>
  </si>
  <si>
    <t>Total additional incentive</t>
  </si>
  <si>
    <t>Total # of sales</t>
  </si>
  <si>
    <t>Bernalillo</t>
  </si>
  <si>
    <t>Totals to date</t>
  </si>
  <si>
    <t>Product by classification</t>
  </si>
  <si>
    <t>Average margin</t>
  </si>
  <si>
    <t>Location</t>
  </si>
  <si>
    <t>Total # of sales closed</t>
  </si>
  <si>
    <t>2021 Job Cost, Margin and Commission Summary</t>
  </si>
  <si>
    <t>D</t>
  </si>
  <si>
    <t>Bath</t>
  </si>
  <si>
    <t>Kitchen</t>
  </si>
  <si>
    <t>Jobs Installed</t>
  </si>
  <si>
    <t>Overton/Brown</t>
  </si>
  <si>
    <t>Pagan</t>
  </si>
  <si>
    <t>Murdock</t>
  </si>
  <si>
    <t>Belen</t>
  </si>
  <si>
    <t>Martillaro</t>
  </si>
  <si>
    <t>Fox</t>
  </si>
  <si>
    <t>Hopwood</t>
  </si>
  <si>
    <t>Contract was turned in 8 days past deadline so no commision was paid for this job.</t>
  </si>
  <si>
    <t>Feldman</t>
  </si>
  <si>
    <t>Warren</t>
  </si>
  <si>
    <t>Goodwin</t>
  </si>
  <si>
    <t>McGee</t>
  </si>
  <si>
    <t>Groman M. Bath</t>
  </si>
  <si>
    <t>Marinuzzi</t>
  </si>
  <si>
    <t>Alsop</t>
  </si>
  <si>
    <t>Latham</t>
  </si>
  <si>
    <t>McCrite</t>
  </si>
  <si>
    <t>Carpenter</t>
  </si>
  <si>
    <t>Dimarino</t>
  </si>
  <si>
    <t>Juan Ortega</t>
  </si>
  <si>
    <t>Lawrence/Escamilla</t>
  </si>
  <si>
    <t>Cantrell</t>
  </si>
  <si>
    <t>Brose</t>
  </si>
  <si>
    <t>Sandoval, Rita</t>
  </si>
  <si>
    <t>Glick (AM Roofing)</t>
  </si>
  <si>
    <t>Mattson/Strand</t>
  </si>
  <si>
    <t>Harmon</t>
  </si>
  <si>
    <t>Huslig</t>
  </si>
  <si>
    <t>Torres</t>
  </si>
  <si>
    <t>Pichon</t>
  </si>
  <si>
    <t>Dave and Dakota did much of the manual labor.</t>
  </si>
  <si>
    <t>Hutter</t>
  </si>
  <si>
    <t>Stephens/Sexton</t>
  </si>
  <si>
    <t>Olson</t>
  </si>
  <si>
    <t>Lubold</t>
  </si>
  <si>
    <t>Baker</t>
  </si>
  <si>
    <t>Dimas</t>
  </si>
  <si>
    <t>Albertelli (K)</t>
  </si>
  <si>
    <t>Albertelli (B cabinets)</t>
  </si>
  <si>
    <t>Albertelli (Bath)</t>
  </si>
  <si>
    <t>Oriani</t>
  </si>
  <si>
    <t>Paez/Campos Melady</t>
  </si>
  <si>
    <t>Campos/Melady</t>
  </si>
  <si>
    <t>Gillentine</t>
  </si>
  <si>
    <t>Jennings</t>
  </si>
  <si>
    <t>Urbano</t>
  </si>
  <si>
    <t>Struve</t>
  </si>
  <si>
    <t>Sklar</t>
  </si>
  <si>
    <t>Dillon</t>
  </si>
  <si>
    <t>Vandenberg</t>
  </si>
  <si>
    <t>Fiallos</t>
  </si>
  <si>
    <t>Porwitzsky</t>
  </si>
  <si>
    <t>Yaparwong</t>
  </si>
  <si>
    <t>Hardy</t>
  </si>
  <si>
    <t>Elwood</t>
  </si>
  <si>
    <t>Mershon</t>
  </si>
  <si>
    <t>Trevor/Mota</t>
  </si>
  <si>
    <t>Vehar</t>
  </si>
  <si>
    <t>Davis</t>
  </si>
  <si>
    <t>Corbin</t>
  </si>
  <si>
    <t>Herrera</t>
  </si>
  <si>
    <t>Romero</t>
  </si>
  <si>
    <t>Jenkins</t>
  </si>
  <si>
    <t>Lattimore</t>
  </si>
  <si>
    <t>Stewart</t>
  </si>
  <si>
    <t>Thurston</t>
  </si>
  <si>
    <t>Zeckel</t>
  </si>
  <si>
    <t>Gordon</t>
  </si>
  <si>
    <t>Horan</t>
  </si>
  <si>
    <t>Hedges</t>
  </si>
  <si>
    <t>Manuelito</t>
  </si>
  <si>
    <t>Garcia, Rodney &amp; Kim</t>
  </si>
  <si>
    <t xml:space="preserve">Aragon, Yolanda </t>
  </si>
  <si>
    <t>Hedeman</t>
  </si>
  <si>
    <t>Sotak</t>
  </si>
  <si>
    <t>Howser</t>
  </si>
  <si>
    <t>Cooper</t>
  </si>
  <si>
    <t>Groman</t>
  </si>
  <si>
    <t xml:space="preserve">Allard </t>
  </si>
  <si>
    <t>Gallegos, Beverly</t>
  </si>
  <si>
    <t>Ramah</t>
  </si>
  <si>
    <t>Ready</t>
  </si>
  <si>
    <t>Del Grande</t>
  </si>
  <si>
    <t>Floyd - MB</t>
  </si>
  <si>
    <t>Floyd - Hall</t>
  </si>
  <si>
    <t>Ornelas</t>
  </si>
  <si>
    <t>Russel</t>
  </si>
  <si>
    <t>Peloquin</t>
  </si>
  <si>
    <t>Tassara</t>
  </si>
  <si>
    <t>Johnson</t>
  </si>
  <si>
    <t>Juvrud</t>
  </si>
  <si>
    <t>Van Wijk</t>
  </si>
  <si>
    <t>Edgewood</t>
  </si>
  <si>
    <t>Owen</t>
  </si>
  <si>
    <t>Bowman</t>
  </si>
  <si>
    <t>Richardson</t>
  </si>
  <si>
    <t>Estancia</t>
  </si>
  <si>
    <t>Pope</t>
  </si>
  <si>
    <t>Customer refused to pay the final balance. A discount of $8500 was given in order to receive any of the owed balance.</t>
  </si>
  <si>
    <t>Cerrilos</t>
  </si>
  <si>
    <t>Salemi/Ruge</t>
  </si>
  <si>
    <t>Schultz</t>
  </si>
  <si>
    <t>Deel</t>
  </si>
  <si>
    <t>Los Ranchos</t>
  </si>
  <si>
    <t>Hall</t>
  </si>
  <si>
    <t>Padilla</t>
  </si>
  <si>
    <t>B-FR</t>
  </si>
  <si>
    <t>Brad H</t>
  </si>
  <si>
    <t>Chris M</t>
  </si>
  <si>
    <t>Nic 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</si>
</sst>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164" formatCode="0.0%"/>
    <numFmt numFmtId="165" formatCode="&quot;$&quot;#,##0.00"/>
    <numFmt numFmtId="166" formatCode="mmmm"/>
  </numFmts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0" fontId="2" fillId="0" borderId="0"/>
  </cellStyleXfs>
  <cellXfs count="16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39" fontId="1" fillId="0" borderId="0" xfId="0" applyNumberFormat="1" applyFont="1"/>
    <xf numFmtId="164" fontId="0" fillId="0" borderId="0" xfId="0" applyNumberFormat="1"/>
    <xf numFmtId="40" fontId="0" fillId="0" borderId="0" xfId="0" applyNumberFormat="1"/>
    <xf numFmtId="40" fontId="1" fillId="0" borderId="0" xfId="0" applyNumberFormat="1" applyFont="1"/>
    <xf numFmtId="2" fontId="1" fillId="0" borderId="0" xfId="0" applyNumberFormat="1" applyFont="1"/>
    <xf numFmtId="14" fontId="1" fillId="0" borderId="1" xfId="0" applyNumberFormat="1" applyFont="1" applyBorder="1" applyAlignment="1">
      <alignment horizontal="center"/>
    </xf>
    <xf numFmtId="40" fontId="1" fillId="0" borderId="1" xfId="0" applyNumberFormat="1" applyFont="1" applyBorder="1"/>
    <xf numFmtId="40" fontId="0" fillId="0" borderId="1" xfId="0" applyNumberFormat="1" applyBorder="1"/>
    <xf numFmtId="0" fontId="1" fillId="0" borderId="0" xfId="0" applyFont="1" applyBorder="1"/>
    <xf numFmtId="16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4" fontId="1" fillId="0" borderId="0" xfId="0" applyNumberFormat="1" applyFont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40" fontId="0" fillId="0" borderId="0" xfId="0" applyNumberFormat="1" applyAlignment="1">
      <alignment horizontal="center"/>
    </xf>
    <xf numFmtId="39" fontId="1" fillId="0" borderId="0" xfId="0" applyNumberFormat="1" applyFont="1" applyAlignment="1">
      <alignment horizontal="center"/>
    </xf>
    <xf numFmtId="40" fontId="1" fillId="0" borderId="0" xfId="0" applyNumberFormat="1" applyFont="1" applyAlignment="1">
      <alignment horizontal="center"/>
    </xf>
    <xf numFmtId="39" fontId="0" fillId="0" borderId="0" xfId="0" applyNumberFormat="1" applyAlignment="1">
      <alignment horizontal="center"/>
    </xf>
    <xf numFmtId="44" fontId="1" fillId="0" borderId="1" xfId="1" applyFont="1" applyBorder="1" applyAlignment="1">
      <alignment horizontal="center"/>
    </xf>
    <xf numFmtId="44" fontId="1" fillId="0" borderId="2" xfId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44" fontId="1" fillId="0" borderId="2" xfId="1" applyFont="1" applyFill="1" applyBorder="1" applyAlignment="1">
      <alignment horizontal="center"/>
    </xf>
    <xf numFmtId="0" fontId="1" fillId="0" borderId="0" xfId="0" applyFont="1" applyFill="1"/>
    <xf numFmtId="44" fontId="6" fillId="0" borderId="1" xfId="1" applyFont="1" applyBorder="1" applyAlignment="1">
      <alignment horizontal="center"/>
    </xf>
    <xf numFmtId="44" fontId="6" fillId="0" borderId="1" xfId="1" applyNumberFormat="1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14" fontId="1" fillId="0" borderId="3" xfId="0" applyNumberFormat="1" applyFont="1" applyBorder="1" applyAlignment="1">
      <alignment horizontal="center"/>
    </xf>
    <xf numFmtId="0" fontId="1" fillId="0" borderId="3" xfId="0" applyFont="1" applyBorder="1" applyAlignment="1">
      <alignment horizontal="left"/>
    </xf>
    <xf numFmtId="44" fontId="1" fillId="0" borderId="3" xfId="1" applyFont="1" applyBorder="1" applyAlignment="1">
      <alignment horizontal="center"/>
    </xf>
    <xf numFmtId="164" fontId="1" fillId="0" borderId="3" xfId="0" applyNumberFormat="1" applyFont="1" applyBorder="1" applyAlignment="1">
      <alignment horizontal="center"/>
    </xf>
    <xf numFmtId="44" fontId="1" fillId="0" borderId="5" xfId="1" applyFont="1" applyBorder="1" applyAlignment="1">
      <alignment horizontal="center"/>
    </xf>
    <xf numFmtId="40" fontId="1" fillId="0" borderId="3" xfId="0" applyNumberFormat="1" applyFont="1" applyBorder="1"/>
    <xf numFmtId="0" fontId="3" fillId="0" borderId="4" xfId="0" applyFont="1" applyBorder="1" applyAlignment="1">
      <alignment horizontal="center"/>
    </xf>
    <xf numFmtId="39" fontId="3" fillId="0" borderId="4" xfId="0" applyNumberFormat="1" applyFont="1" applyBorder="1" applyAlignment="1">
      <alignment horizontal="center"/>
    </xf>
    <xf numFmtId="164" fontId="3" fillId="0" borderId="4" xfId="0" applyNumberFormat="1" applyFont="1" applyBorder="1" applyAlignment="1">
      <alignment horizontal="center"/>
    </xf>
    <xf numFmtId="40" fontId="3" fillId="0" borderId="4" xfId="0" applyNumberFormat="1" applyFont="1" applyBorder="1" applyAlignment="1">
      <alignment horizontal="center"/>
    </xf>
    <xf numFmtId="44" fontId="3" fillId="0" borderId="8" xfId="1" applyFont="1" applyBorder="1" applyAlignment="1">
      <alignment horizontal="center" vertical="center"/>
    </xf>
    <xf numFmtId="10" fontId="3" fillId="0" borderId="8" xfId="0" applyNumberFormat="1" applyFont="1" applyBorder="1" applyAlignment="1">
      <alignment horizontal="center" vertical="center"/>
    </xf>
    <xf numFmtId="44" fontId="3" fillId="0" borderId="9" xfId="1" applyFont="1" applyBorder="1" applyAlignment="1">
      <alignment horizontal="center" vertical="center"/>
    </xf>
    <xf numFmtId="44" fontId="3" fillId="0" borderId="10" xfId="1" applyFont="1" applyBorder="1" applyAlignment="1">
      <alignment horizontal="center" vertical="center"/>
    </xf>
    <xf numFmtId="164" fontId="4" fillId="0" borderId="6" xfId="0" applyNumberFormat="1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164" fontId="0" fillId="0" borderId="21" xfId="0" applyNumberFormat="1" applyBorder="1" applyAlignment="1">
      <alignment horizontal="center"/>
    </xf>
    <xf numFmtId="164" fontId="0" fillId="0" borderId="22" xfId="0" applyNumberFormat="1" applyBorder="1" applyAlignment="1">
      <alignment horizontal="center"/>
    </xf>
    <xf numFmtId="164" fontId="0" fillId="0" borderId="23" xfId="0" applyNumberFormat="1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164" fontId="0" fillId="0" borderId="17" xfId="0" applyNumberFormat="1" applyBorder="1" applyAlignment="1">
      <alignment horizontal="center"/>
    </xf>
    <xf numFmtId="165" fontId="0" fillId="0" borderId="21" xfId="0" applyNumberFormat="1" applyBorder="1" applyAlignment="1">
      <alignment horizontal="center"/>
    </xf>
    <xf numFmtId="165" fontId="0" fillId="0" borderId="23" xfId="0" applyNumberFormat="1" applyBorder="1" applyAlignment="1">
      <alignment horizontal="center"/>
    </xf>
    <xf numFmtId="165" fontId="0" fillId="0" borderId="22" xfId="0" applyNumberFormat="1" applyBorder="1" applyAlignment="1">
      <alignment horizontal="center"/>
    </xf>
    <xf numFmtId="165" fontId="0" fillId="0" borderId="24" xfId="0" applyNumberFormat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5" fontId="4" fillId="0" borderId="6" xfId="0" applyNumberFormat="1" applyFont="1" applyBorder="1" applyAlignment="1">
      <alignment horizontal="center"/>
    </xf>
    <xf numFmtId="0" fontId="0" fillId="0" borderId="0" xfId="0" applyFill="1"/>
    <xf numFmtId="10" fontId="0" fillId="0" borderId="21" xfId="0" applyNumberFormat="1" applyBorder="1" applyAlignment="1">
      <alignment horizontal="center"/>
    </xf>
    <xf numFmtId="10" fontId="0" fillId="0" borderId="24" xfId="0" applyNumberFormat="1" applyBorder="1" applyAlignment="1">
      <alignment horizontal="center"/>
    </xf>
    <xf numFmtId="10" fontId="0" fillId="0" borderId="22" xfId="0" applyNumberFormat="1" applyBorder="1" applyAlignment="1">
      <alignment horizontal="center"/>
    </xf>
    <xf numFmtId="0" fontId="0" fillId="0" borderId="0" xfId="0" applyFill="1" applyBorder="1" applyAlignment="1"/>
    <xf numFmtId="1" fontId="0" fillId="0" borderId="21" xfId="0" applyNumberFormat="1" applyBorder="1" applyAlignment="1">
      <alignment horizontal="center"/>
    </xf>
    <xf numFmtId="1" fontId="0" fillId="0" borderId="24" xfId="0" applyNumberFormat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11" xfId="0" applyBorder="1" applyAlignment="1">
      <alignment horizontal="center"/>
    </xf>
    <xf numFmtId="165" fontId="0" fillId="0" borderId="29" xfId="0" applyNumberFormat="1" applyBorder="1" applyAlignment="1">
      <alignment horizontal="center"/>
    </xf>
    <xf numFmtId="0" fontId="0" fillId="0" borderId="29" xfId="0" applyBorder="1"/>
    <xf numFmtId="0" fontId="0" fillId="0" borderId="12" xfId="0" applyBorder="1"/>
    <xf numFmtId="0" fontId="0" fillId="0" borderId="30" xfId="0" applyBorder="1" applyAlignment="1">
      <alignment horizontal="center"/>
    </xf>
    <xf numFmtId="0" fontId="0" fillId="0" borderId="0" xfId="0" applyBorder="1"/>
    <xf numFmtId="0" fontId="0" fillId="0" borderId="31" xfId="0" applyBorder="1"/>
    <xf numFmtId="0" fontId="0" fillId="0" borderId="30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4" xfId="0" applyBorder="1"/>
    <xf numFmtId="0" fontId="0" fillId="0" borderId="14" xfId="0" applyBorder="1"/>
    <xf numFmtId="0" fontId="0" fillId="0" borderId="11" xfId="0" applyBorder="1" applyAlignment="1">
      <alignment horizontal="left"/>
    </xf>
    <xf numFmtId="0" fontId="0" fillId="0" borderId="29" xfId="0" applyBorder="1" applyAlignment="1">
      <alignment horizontal="center"/>
    </xf>
    <xf numFmtId="1" fontId="0" fillId="0" borderId="22" xfId="0" applyNumberFormat="1" applyBorder="1" applyAlignment="1">
      <alignment horizontal="center"/>
    </xf>
    <xf numFmtId="165" fontId="0" fillId="0" borderId="0" xfId="0" applyNumberFormat="1" applyFill="1" applyBorder="1" applyAlignment="1">
      <alignment horizontal="center"/>
    </xf>
    <xf numFmtId="10" fontId="0" fillId="0" borderId="0" xfId="0" applyNumberFormat="1" applyFill="1" applyBorder="1" applyAlignment="1">
      <alignment horizontal="center"/>
    </xf>
    <xf numFmtId="165" fontId="0" fillId="0" borderId="32" xfId="0" applyNumberFormat="1" applyBorder="1" applyAlignment="1">
      <alignment horizont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165" fontId="4" fillId="0" borderId="0" xfId="0" applyNumberFormat="1" applyFont="1" applyFill="1" applyBorder="1" applyAlignment="1">
      <alignment horizontal="center"/>
    </xf>
    <xf numFmtId="165" fontId="0" fillId="0" borderId="6" xfId="0" applyNumberFormat="1" applyBorder="1" applyAlignment="1">
      <alignment horizontal="center"/>
    </xf>
    <xf numFmtId="0" fontId="0" fillId="0" borderId="11" xfId="0" applyBorder="1"/>
    <xf numFmtId="0" fontId="0" fillId="0" borderId="30" xfId="0" applyBorder="1"/>
    <xf numFmtId="0" fontId="0" fillId="0" borderId="13" xfId="0" applyBorder="1"/>
    <xf numFmtId="164" fontId="0" fillId="0" borderId="6" xfId="0" applyNumberFormat="1" applyBorder="1" applyAlignment="1">
      <alignment horizontal="center"/>
    </xf>
    <xf numFmtId="166" fontId="0" fillId="0" borderId="19" xfId="0" applyNumberFormat="1" applyBorder="1" applyAlignment="1">
      <alignment horizontal="center"/>
    </xf>
    <xf numFmtId="166" fontId="0" fillId="0" borderId="18" xfId="0" applyNumberFormat="1" applyBorder="1" applyAlignment="1">
      <alignment horizontal="center"/>
    </xf>
    <xf numFmtId="166" fontId="0" fillId="0" borderId="20" xfId="0" applyNumberFormat="1" applyBorder="1" applyAlignment="1">
      <alignment horizontal="center"/>
    </xf>
    <xf numFmtId="10" fontId="0" fillId="0" borderId="34" xfId="0" applyNumberFormat="1" applyBorder="1" applyAlignment="1">
      <alignment horizontal="center"/>
    </xf>
    <xf numFmtId="165" fontId="0" fillId="0" borderId="24" xfId="0" applyNumberFormat="1" applyFill="1" applyBorder="1" applyAlignment="1">
      <alignment horizontal="center"/>
    </xf>
    <xf numFmtId="1" fontId="0" fillId="0" borderId="24" xfId="0" applyNumberFormat="1" applyFill="1" applyBorder="1" applyAlignment="1">
      <alignment horizontal="center"/>
    </xf>
    <xf numFmtId="10" fontId="0" fillId="0" borderId="24" xfId="0" applyNumberFormat="1" applyFill="1" applyBorder="1" applyAlignment="1">
      <alignment horizontal="center"/>
    </xf>
    <xf numFmtId="165" fontId="0" fillId="0" borderId="22" xfId="0" applyNumberFormat="1" applyFill="1" applyBorder="1" applyAlignment="1">
      <alignment horizontal="center"/>
    </xf>
    <xf numFmtId="1" fontId="0" fillId="0" borderId="22" xfId="0" applyNumberFormat="1" applyFill="1" applyBorder="1" applyAlignment="1">
      <alignment horizontal="center"/>
    </xf>
    <xf numFmtId="10" fontId="0" fillId="0" borderId="22" xfId="0" applyNumberFormat="1" applyFill="1" applyBorder="1" applyAlignment="1">
      <alignment horizontal="center"/>
    </xf>
    <xf numFmtId="1" fontId="0" fillId="0" borderId="24" xfId="0" applyNumberFormat="1" applyFont="1" applyBorder="1" applyAlignment="1">
      <alignment horizontal="center"/>
    </xf>
    <xf numFmtId="164" fontId="0" fillId="0" borderId="0" xfId="0" applyNumberFormat="1" applyBorder="1"/>
    <xf numFmtId="165" fontId="0" fillId="0" borderId="0" xfId="0" applyNumberFormat="1" applyBorder="1" applyAlignment="1">
      <alignment horizontal="left"/>
    </xf>
    <xf numFmtId="0" fontId="1" fillId="0" borderId="1" xfId="0" applyFont="1" applyFill="1" applyBorder="1" applyAlignment="1">
      <alignment horizontal="left"/>
    </xf>
    <xf numFmtId="0" fontId="5" fillId="0" borderId="0" xfId="0" applyFont="1" applyAlignment="1">
      <alignment horizontal="center"/>
    </xf>
    <xf numFmtId="0" fontId="7" fillId="0" borderId="7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33" xfId="0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0" fillId="5" borderId="33" xfId="0" applyFill="1" applyBorder="1" applyAlignment="1">
      <alignment horizontal="center" vertical="center"/>
    </xf>
    <xf numFmtId="0" fontId="3" fillId="4" borderId="15" xfId="0" applyFont="1" applyFill="1" applyBorder="1" applyAlignment="1">
      <alignment horizontal="center"/>
    </xf>
    <xf numFmtId="0" fontId="3" fillId="4" borderId="28" xfId="0" applyFont="1" applyFill="1" applyBorder="1" applyAlignment="1">
      <alignment horizontal="center"/>
    </xf>
    <xf numFmtId="0" fontId="3" fillId="4" borderId="16" xfId="0" applyFont="1" applyFill="1" applyBorder="1" applyAlignment="1">
      <alignment horizontal="center" vertical="center" wrapText="1"/>
    </xf>
    <xf numFmtId="0" fontId="3" fillId="4" borderId="17" xfId="0" applyFont="1" applyFill="1" applyBorder="1" applyAlignment="1">
      <alignment horizontal="center" vertical="center" wrapText="1"/>
    </xf>
    <xf numFmtId="0" fontId="0" fillId="6" borderId="15" xfId="0" applyFill="1" applyBorder="1" applyAlignment="1">
      <alignment horizontal="center" vertical="center"/>
    </xf>
    <xf numFmtId="0" fontId="0" fillId="6" borderId="33" xfId="0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 wrapText="1"/>
    </xf>
    <xf numFmtId="0" fontId="3" fillId="4" borderId="12" xfId="0" applyFont="1" applyFill="1" applyBorder="1" applyAlignment="1">
      <alignment horizontal="center" vertical="center" wrapText="1"/>
    </xf>
    <xf numFmtId="0" fontId="3" fillId="4" borderId="13" xfId="0" applyFont="1" applyFill="1" applyBorder="1" applyAlignment="1">
      <alignment horizontal="center" vertical="center" wrapText="1"/>
    </xf>
    <xf numFmtId="0" fontId="3" fillId="4" borderId="14" xfId="0" applyFont="1" applyFill="1" applyBorder="1" applyAlignment="1">
      <alignment horizontal="center" vertical="center" wrapText="1"/>
    </xf>
    <xf numFmtId="0" fontId="0" fillId="4" borderId="15" xfId="0" applyFill="1" applyBorder="1" applyAlignment="1">
      <alignment horizontal="center" vertical="center"/>
    </xf>
    <xf numFmtId="0" fontId="0" fillId="4" borderId="33" xfId="0" applyFill="1" applyBorder="1" applyAlignment="1">
      <alignment horizontal="center" vertical="center"/>
    </xf>
    <xf numFmtId="0" fontId="0" fillId="5" borderId="16" xfId="0" applyFill="1" applyBorder="1" applyAlignment="1">
      <alignment horizontal="center" vertical="center"/>
    </xf>
    <xf numFmtId="0" fontId="0" fillId="5" borderId="25" xfId="0" applyFill="1" applyBorder="1" applyAlignment="1">
      <alignment horizontal="center" vertical="center"/>
    </xf>
    <xf numFmtId="0" fontId="0" fillId="5" borderId="17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25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3" borderId="25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0" fillId="4" borderId="28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3" borderId="28" xfId="0" applyFill="1" applyBorder="1" applyAlignment="1">
      <alignment horizontal="center" vertical="center"/>
    </xf>
    <xf numFmtId="0" fontId="0" fillId="5" borderId="28" xfId="0" applyFill="1" applyBorder="1" applyAlignment="1">
      <alignment horizontal="center" vertical="center"/>
    </xf>
    <xf numFmtId="0" fontId="0" fillId="6" borderId="28" xfId="0" applyFill="1" applyBorder="1" applyAlignment="1">
      <alignment horizontal="center" vertical="center"/>
    </xf>
    <xf numFmtId="1" fontId="4" fillId="0" borderId="16" xfId="0" applyNumberFormat="1" applyFont="1" applyBorder="1" applyAlignment="1">
      <alignment horizontal="center" vertical="center"/>
    </xf>
    <xf numFmtId="1" fontId="4" fillId="0" borderId="17" xfId="0" applyNumberFormat="1" applyFont="1" applyBorder="1" applyAlignment="1">
      <alignment horizontal="center" vertical="center"/>
    </xf>
    <xf numFmtId="10" fontId="4" fillId="0" borderId="16" xfId="0" applyNumberFormat="1" applyFont="1" applyBorder="1" applyAlignment="1">
      <alignment horizontal="center" vertical="center"/>
    </xf>
    <xf numFmtId="10" fontId="4" fillId="0" borderId="17" xfId="0" applyNumberFormat="1" applyFont="1" applyBorder="1" applyAlignment="1">
      <alignment horizontal="center" vertical="center"/>
    </xf>
    <xf numFmtId="0" fontId="0" fillId="4" borderId="25" xfId="0" applyFill="1" applyBorder="1" applyAlignment="1">
      <alignment horizontal="center" vertical="center"/>
    </xf>
    <xf numFmtId="165" fontId="4" fillId="0" borderId="16" xfId="0" applyNumberFormat="1" applyFont="1" applyBorder="1" applyAlignment="1">
      <alignment horizontal="center" vertical="center"/>
    </xf>
    <xf numFmtId="165" fontId="4" fillId="0" borderId="17" xfId="0" applyNumberFormat="1" applyFont="1" applyBorder="1" applyAlignment="1">
      <alignment horizontal="center" vertical="center"/>
    </xf>
    <xf numFmtId="165" fontId="4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10" fontId="4" fillId="0" borderId="0" xfId="0" applyNumberFormat="1" applyFont="1" applyFill="1" applyBorder="1" applyAlignment="1">
      <alignment horizontal="center" vertical="center"/>
    </xf>
    <xf numFmtId="10" fontId="4" fillId="0" borderId="12" xfId="0" applyNumberFormat="1" applyFont="1" applyBorder="1" applyAlignment="1">
      <alignment horizontal="center" vertical="center"/>
    </xf>
    <xf numFmtId="10" fontId="4" fillId="0" borderId="14" xfId="0" applyNumberFormat="1" applyFont="1" applyBorder="1" applyAlignment="1">
      <alignment horizontal="center" vertical="center"/>
    </xf>
  </cellXfs>
  <cellStyles count="3">
    <cellStyle name="Currency" xfId="1" builtinId="4"/>
    <cellStyle name="Normal" xfId="0" builtinId="0"/>
    <cellStyle name="Normal 2" xfId="2"/>
  </cellStyles>
  <dxfs count="12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colors>
    <mruColors>
      <color rgb="FFFF5050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1.xml"/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2.xml"/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3.xml"/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4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5.xml"/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6.xml"/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7.xml"/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'Product Margin Analysis'!$D$2</c:f>
              <c:strCache>
                <c:ptCount val="1"/>
                <c:pt idx="0">
                  <c:v>Average margin by product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4DA8-4B18-A59D-2C2BEAD9D847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4DA8-4B18-A59D-2C2BEAD9D847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4DA8-4B18-A59D-2C2BEAD9D847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4DA8-4B18-A59D-2C2BEAD9D847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4DA8-4B18-A59D-2C2BEAD9D847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4DA8-4B18-A59D-2C2BEAD9D847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4DA8-4B18-A59D-2C2BEAD9D847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4DA8-4B18-A59D-2C2BEAD9D847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4DA8-4B18-A59D-2C2BEAD9D847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4DA8-4B18-A59D-2C2BEAD9D847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5-4DA8-4B18-A59D-2C2BEAD9D847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7-4DA8-4B18-A59D-2C2BEAD9D847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9-4DA8-4B18-A59D-2C2BEAD9D847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B-4DA8-4B18-A59D-2C2BEAD9D847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D-4DA8-4B18-A59D-2C2BEAD9D84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'Product Margin Analysis'!$C$4:$C$18</c:f>
              <c:strCache>
                <c:ptCount val="15"/>
                <c:pt idx="0">
                  <c:v>B</c:v>
                </c:pt>
                <c:pt idx="1">
                  <c:v>K</c:v>
                </c:pt>
                <c:pt idx="2">
                  <c:v>FP</c:v>
                </c:pt>
                <c:pt idx="3">
                  <c:v>IR</c:v>
                </c:pt>
                <c:pt idx="4">
                  <c:v>LC</c:v>
                </c:pt>
                <c:pt idx="5">
                  <c:v>OP</c:v>
                </c:pt>
                <c:pt idx="6">
                  <c:v>VP</c:v>
                </c:pt>
                <c:pt idx="7">
                  <c:v>SR-206</c:v>
                </c:pt>
                <c:pt idx="8">
                  <c:v>SR-306</c:v>
                </c:pt>
                <c:pt idx="9">
                  <c:v>SR-406</c:v>
                </c:pt>
                <c:pt idx="10">
                  <c:v>SR-VV</c:v>
                </c:pt>
                <c:pt idx="11">
                  <c:v>SCR-WO</c:v>
                </c:pt>
                <c:pt idx="12">
                  <c:v>D</c:v>
                </c:pt>
                <c:pt idx="13">
                  <c:v>W (A)</c:v>
                </c:pt>
                <c:pt idx="14">
                  <c:v>W</c:v>
                </c:pt>
              </c:strCache>
            </c:strRef>
          </c:cat>
          <c:val>
            <c:numRef>
              <c:f>'Product Margin Analysis'!$D$4:$D$18</c:f>
              <c:numCache>
                <c:formatCode>0.0%</c:formatCode>
                <c:ptCount val="15"/>
                <c:pt idx="0">
                  <c:v>0.51154611806863626</c:v>
                </c:pt>
                <c:pt idx="1">
                  <c:v>0.5255112604444484</c:v>
                </c:pt>
                <c:pt idx="2">
                  <c:v>0.60594873133478133</c:v>
                </c:pt>
                <c:pt idx="3">
                  <c:v>0.52799035891562296</c:v>
                </c:pt>
                <c:pt idx="4">
                  <c:v>0.56532010131848476</c:v>
                </c:pt>
                <c:pt idx="5">
                  <c:v>0.51342686605982091</c:v>
                </c:pt>
                <c:pt idx="6">
                  <c:v>0.5665732333055602</c:v>
                </c:pt>
                <c:pt idx="7">
                  <c:v>0.59764484692671915</c:v>
                </c:pt>
                <c:pt idx="8">
                  <c:v>0.56095500703909162</c:v>
                </c:pt>
                <c:pt idx="9">
                  <c:v>0.51019521906561116</c:v>
                </c:pt>
                <c:pt idx="10">
                  <c:v>0.62496567971506878</c:v>
                </c:pt>
                <c:pt idx="11">
                  <c:v>0.56948925949126883</c:v>
                </c:pt>
                <c:pt idx="12">
                  <c:v>0.42889499398349235</c:v>
                </c:pt>
                <c:pt idx="13">
                  <c:v>0.47611735013023204</c:v>
                </c:pt>
                <c:pt idx="14">
                  <c:v>0.46078891185688747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B2E-42DF-B7AE-C73110D5DC8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0"/>
        <c:gapDepth val="100"/>
        <c:shape val="box"/>
        <c:axId val="139002472"/>
        <c:axId val="139002864"/>
        <c:axId val="0"/>
      </c:bar3DChart>
      <c:catAx>
        <c:axId val="139002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002864"/>
        <c:crosses val="autoZero"/>
        <c:auto val="1"/>
        <c:lblAlgn val="ctr"/>
        <c:lblOffset val="100"/>
        <c:noMultiLvlLbl val="0"/>
      </c:catAx>
      <c:valAx>
        <c:axId val="139002864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002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Average Sale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1-195A-4474-AB0F-702D9473154B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3-195A-4474-AB0F-702D9473154B}"/>
              </c:ext>
            </c:extLst>
          </c:dPt>
          <c:dPt>
            <c:idx val="2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5-195A-4474-AB0F-702D9473154B}"/>
              </c:ext>
            </c:extLst>
          </c:dPt>
          <c:dPt>
            <c:idx val="3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7-195A-4474-AB0F-702D9473154B}"/>
              </c:ext>
            </c:extLst>
          </c:dPt>
          <c:dPt>
            <c:idx val="4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9-195A-4474-AB0F-702D9473154B}"/>
              </c:ext>
            </c:extLst>
          </c:dPt>
          <c:dPt>
            <c:idx val="5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B-195A-4474-AB0F-702D9473154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'Designer Analysis'!$B$4:$B$10</c:f>
              <c:strCache>
                <c:ptCount val="7"/>
                <c:pt idx="0">
                  <c:v>BH</c:v>
                </c:pt>
                <c:pt idx="1">
                  <c:v>BS</c:v>
                </c:pt>
                <c:pt idx="2">
                  <c:v>CD</c:v>
                </c:pt>
                <c:pt idx="3">
                  <c:v>EK</c:v>
                </c:pt>
                <c:pt idx="4">
                  <c:v>EN</c:v>
                </c:pt>
                <c:pt idx="5">
                  <c:v>LJ</c:v>
                </c:pt>
                <c:pt idx="6">
                  <c:v>MW</c:v>
                </c:pt>
              </c:strCache>
            </c:strRef>
          </c:cat>
          <c:val>
            <c:numRef>
              <c:f>'Designer Analysis'!$E$4:$E$10</c:f>
              <c:numCache>
                <c:formatCode>"$"#,##0.00</c:formatCode>
                <c:ptCount val="7"/>
                <c:pt idx="0">
                  <c:v>19375.34</c:v>
                </c:pt>
                <c:pt idx="1">
                  <c:v>15416.103055555561</c:v>
                </c:pt>
                <c:pt idx="2">
                  <c:v>14931.942765957449</c:v>
                </c:pt>
                <c:pt idx="3">
                  <c:v>16303.61</c:v>
                </c:pt>
                <c:pt idx="4">
                  <c:v>9432</c:v>
                </c:pt>
                <c:pt idx="5">
                  <c:v>26002.684528301885</c:v>
                </c:pt>
                <c:pt idx="6">
                  <c:v>18302.973749999997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B2E-42DF-B7AE-C73110D5DC8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5"/>
        <c:gapDepth val="100"/>
        <c:shape val="box"/>
        <c:axId val="463054336"/>
        <c:axId val="463053160"/>
        <c:axId val="0"/>
      </c:bar3DChart>
      <c:catAx>
        <c:axId val="463054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053160"/>
        <c:crosses val="autoZero"/>
        <c:auto val="1"/>
        <c:lblAlgn val="ctr"/>
        <c:lblOffset val="100"/>
        <c:noMultiLvlLbl val="0"/>
      </c:catAx>
      <c:valAx>
        <c:axId val="463053160"/>
        <c:scaling>
          <c:orientation val="minMax"/>
          <c:min val="50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054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Average Margin</a:t>
            </a:r>
          </a:p>
        </c:rich>
      </c:tx>
      <c:layout>
        <c:manualLayout>
          <c:xMode val="edge"/>
          <c:yMode val="edge"/>
          <c:x val="0.46853544586634166"/>
          <c:y val="1.29554644857054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1-F2C1-4891-BAAB-95C2D3888AE6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3-F2C1-4891-BAAB-95C2D3888AE6}"/>
              </c:ext>
            </c:extLst>
          </c:dPt>
          <c:dPt>
            <c:idx val="2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5-F2C1-4891-BAAB-95C2D3888AE6}"/>
              </c:ext>
            </c:extLst>
          </c:dPt>
          <c:dPt>
            <c:idx val="3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7-F2C1-4891-BAAB-95C2D3888AE6}"/>
              </c:ext>
            </c:extLst>
          </c:dPt>
          <c:dPt>
            <c:idx val="4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9-F2C1-4891-BAAB-95C2D3888AE6}"/>
              </c:ext>
            </c:extLst>
          </c:dPt>
          <c:dPt>
            <c:idx val="5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B-F2C1-4891-BAAB-95C2D3888AE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'Designer Analysis'!$B$4:$B$10</c:f>
              <c:strCache>
                <c:ptCount val="7"/>
                <c:pt idx="0">
                  <c:v>BH</c:v>
                </c:pt>
                <c:pt idx="1">
                  <c:v>BS</c:v>
                </c:pt>
                <c:pt idx="2">
                  <c:v>CD</c:v>
                </c:pt>
                <c:pt idx="3">
                  <c:v>EK</c:v>
                </c:pt>
                <c:pt idx="4">
                  <c:v>EN</c:v>
                </c:pt>
                <c:pt idx="5">
                  <c:v>LJ</c:v>
                </c:pt>
                <c:pt idx="6">
                  <c:v>MW</c:v>
                </c:pt>
              </c:strCache>
            </c:strRef>
          </c:cat>
          <c:val>
            <c:numRef>
              <c:f>'Designer Analysis'!$F$4:$F$10</c:f>
              <c:numCache>
                <c:formatCode>0.00%</c:formatCode>
                <c:ptCount val="7"/>
                <c:pt idx="0">
                  <c:v>0.58985665701463053</c:v>
                </c:pt>
                <c:pt idx="1">
                  <c:v>0.49113081570792733</c:v>
                </c:pt>
                <c:pt idx="2">
                  <c:v>0.52485977621089708</c:v>
                </c:pt>
                <c:pt idx="3">
                  <c:v>0.57222320231820967</c:v>
                </c:pt>
                <c:pt idx="4">
                  <c:v>0.31725296861747243</c:v>
                </c:pt>
                <c:pt idx="5">
                  <c:v>0.52405859000600108</c:v>
                </c:pt>
                <c:pt idx="6">
                  <c:v>0.55466212367223411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B2E-42DF-B7AE-C73110D5DC8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5"/>
        <c:gapDepth val="100"/>
        <c:shape val="box"/>
        <c:axId val="463051984"/>
        <c:axId val="463050416"/>
        <c:axId val="0"/>
      </c:bar3DChart>
      <c:catAx>
        <c:axId val="463051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050416"/>
        <c:crosses val="autoZero"/>
        <c:auto val="1"/>
        <c:lblAlgn val="ctr"/>
        <c:lblOffset val="100"/>
        <c:noMultiLvlLbl val="0"/>
      </c:catAx>
      <c:valAx>
        <c:axId val="463050416"/>
        <c:scaling>
          <c:orientation val="minMax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051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</a:t>
            </a:r>
            <a:r>
              <a:rPr lang="en-US"/>
              <a:t>Comm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1-31D1-4009-A706-2470E1DD0187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3-31D1-4009-A706-2470E1DD0187}"/>
              </c:ext>
            </c:extLst>
          </c:dPt>
          <c:dPt>
            <c:idx val="2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5-31D1-4009-A706-2470E1DD0187}"/>
              </c:ext>
            </c:extLst>
          </c:dPt>
          <c:dPt>
            <c:idx val="3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7-31D1-4009-A706-2470E1DD0187}"/>
              </c:ext>
            </c:extLst>
          </c:dPt>
          <c:dPt>
            <c:idx val="4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9-31D1-4009-A706-2470E1DD0187}"/>
              </c:ext>
            </c:extLst>
          </c:dPt>
          <c:dPt>
            <c:idx val="5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B-31D1-4009-A706-2470E1DD018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'Designer Analysis'!$B$4:$B$10</c:f>
              <c:strCache>
                <c:ptCount val="7"/>
                <c:pt idx="0">
                  <c:v>BH</c:v>
                </c:pt>
                <c:pt idx="1">
                  <c:v>BS</c:v>
                </c:pt>
                <c:pt idx="2">
                  <c:v>CD</c:v>
                </c:pt>
                <c:pt idx="3">
                  <c:v>EK</c:v>
                </c:pt>
                <c:pt idx="4">
                  <c:v>EN</c:v>
                </c:pt>
                <c:pt idx="5">
                  <c:v>LJ</c:v>
                </c:pt>
                <c:pt idx="6">
                  <c:v>MW</c:v>
                </c:pt>
              </c:strCache>
            </c:strRef>
          </c:cat>
          <c:val>
            <c:numRef>
              <c:f>'Designer Analysis'!$G$4:$G$10</c:f>
              <c:numCache>
                <c:formatCode>0.00%</c:formatCode>
                <c:ptCount val="7"/>
                <c:pt idx="0">
                  <c:v>0.15070161373888569</c:v>
                </c:pt>
                <c:pt idx="1">
                  <c:v>8.3430327018972961E-2</c:v>
                </c:pt>
                <c:pt idx="2">
                  <c:v>0.10961316637500627</c:v>
                </c:pt>
                <c:pt idx="3">
                  <c:v>0.12930575844427641</c:v>
                </c:pt>
                <c:pt idx="4">
                  <c:v>8.6292408821034769E-2</c:v>
                </c:pt>
                <c:pt idx="5">
                  <c:v>0.11713567504165788</c:v>
                </c:pt>
                <c:pt idx="6">
                  <c:v>0.10273761273090057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B2E-42DF-B7AE-C73110D5DC8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5"/>
        <c:gapDepth val="100"/>
        <c:shape val="box"/>
        <c:axId val="463052376"/>
        <c:axId val="463053552"/>
        <c:axId val="0"/>
      </c:bar3DChart>
      <c:catAx>
        <c:axId val="463052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053552"/>
        <c:crosses val="autoZero"/>
        <c:auto val="1"/>
        <c:lblAlgn val="ctr"/>
        <c:lblOffset val="100"/>
        <c:noMultiLvlLbl val="0"/>
      </c:catAx>
      <c:valAx>
        <c:axId val="463053552"/>
        <c:scaling>
          <c:orientation val="minMax"/>
          <c:min val="8.0000000000000016E-2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052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</a:t>
            </a:r>
            <a:r>
              <a:rPr lang="en-US"/>
              <a:t>Over/Under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2E0E-4A35-BE0D-E3B2008518FC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2E0E-4A35-BE0D-E3B2008518FC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2E0E-4A35-BE0D-E3B2008518FC}"/>
              </c:ext>
            </c:extLst>
          </c:dPt>
          <c:dPt>
            <c:idx val="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2E0E-4A35-BE0D-E3B2008518FC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2E0E-4A35-BE0D-E3B2008518FC}"/>
              </c:ext>
            </c:extLst>
          </c:dPt>
          <c:dPt>
            <c:idx val="5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2E0E-4A35-BE0D-E3B2008518FC}"/>
              </c:ext>
            </c:extLst>
          </c:dPt>
          <c:dPt>
            <c:idx val="6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2E0E-4A35-BE0D-E3B2008518F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'Designer Analysis'!$B$4:$B$10</c:f>
              <c:strCache>
                <c:ptCount val="7"/>
                <c:pt idx="0">
                  <c:v>BH</c:v>
                </c:pt>
                <c:pt idx="1">
                  <c:v>BS</c:v>
                </c:pt>
                <c:pt idx="2">
                  <c:v>CD</c:v>
                </c:pt>
                <c:pt idx="3">
                  <c:v>EK</c:v>
                </c:pt>
                <c:pt idx="4">
                  <c:v>EN</c:v>
                </c:pt>
                <c:pt idx="5">
                  <c:v>LJ</c:v>
                </c:pt>
                <c:pt idx="6">
                  <c:v>MW</c:v>
                </c:pt>
              </c:strCache>
            </c:strRef>
          </c:cat>
          <c:val>
            <c:numRef>
              <c:f>'Designer Analysis'!$H$4:$H$10</c:f>
              <c:numCache>
                <c:formatCode>"$"#,##0.00</c:formatCode>
                <c:ptCount val="7"/>
                <c:pt idx="0">
                  <c:v>2502.0733333333333</c:v>
                </c:pt>
                <c:pt idx="1">
                  <c:v>9.2645833333333236</c:v>
                </c:pt>
                <c:pt idx="2">
                  <c:v>393.17531914893618</c:v>
                </c:pt>
                <c:pt idx="3">
                  <c:v>827.39750000000004</c:v>
                </c:pt>
                <c:pt idx="4">
                  <c:v>-455.95</c:v>
                </c:pt>
                <c:pt idx="5">
                  <c:v>1537.6218867924529</c:v>
                </c:pt>
                <c:pt idx="6">
                  <c:v>533.36607142857133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B2E-42DF-B7AE-C73110D5DC8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5"/>
        <c:gapDepth val="100"/>
        <c:shape val="box"/>
        <c:axId val="463056296"/>
        <c:axId val="463054728"/>
        <c:axId val="0"/>
      </c:bar3DChart>
      <c:catAx>
        <c:axId val="463056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054728"/>
        <c:crossesAt val="-500"/>
        <c:auto val="1"/>
        <c:lblAlgn val="ctr"/>
        <c:lblOffset val="100"/>
        <c:noMultiLvlLbl val="0"/>
      </c:catAx>
      <c:valAx>
        <c:axId val="463054728"/>
        <c:scaling>
          <c:orientation val="minMax"/>
          <c:min val="-5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&quot;$&quot;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056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 Additional Incentive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1-F044-4A53-AB2E-E3DE6EA0EF68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3-F044-4A53-AB2E-E3DE6EA0EF68}"/>
              </c:ext>
            </c:extLst>
          </c:dPt>
          <c:dPt>
            <c:idx val="2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5-F044-4A53-AB2E-E3DE6EA0EF68}"/>
              </c:ext>
            </c:extLst>
          </c:dPt>
          <c:dPt>
            <c:idx val="3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7-F044-4A53-AB2E-E3DE6EA0EF68}"/>
              </c:ext>
            </c:extLst>
          </c:dPt>
          <c:dPt>
            <c:idx val="4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9-F044-4A53-AB2E-E3DE6EA0EF68}"/>
              </c:ext>
            </c:extLst>
          </c:dPt>
          <c:dPt>
            <c:idx val="5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B-F044-4A53-AB2E-E3DE6EA0EF6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'Designer Analysis'!$B$4:$B$10</c:f>
              <c:strCache>
                <c:ptCount val="7"/>
                <c:pt idx="0">
                  <c:v>BH</c:v>
                </c:pt>
                <c:pt idx="1">
                  <c:v>BS</c:v>
                </c:pt>
                <c:pt idx="2">
                  <c:v>CD</c:v>
                </c:pt>
                <c:pt idx="3">
                  <c:v>EK</c:v>
                </c:pt>
                <c:pt idx="4">
                  <c:v>EN</c:v>
                </c:pt>
                <c:pt idx="5">
                  <c:v>LJ</c:v>
                </c:pt>
                <c:pt idx="6">
                  <c:v>MW</c:v>
                </c:pt>
              </c:strCache>
            </c:strRef>
          </c:cat>
          <c:val>
            <c:numRef>
              <c:f>'Designer Analysis'!$I$4:$I$10</c:f>
              <c:numCache>
                <c:formatCode>"$"#,##0.00</c:formatCode>
                <c:ptCount val="7"/>
                <c:pt idx="0">
                  <c:v>0</c:v>
                </c:pt>
                <c:pt idx="1">
                  <c:v>6146.4800000000005</c:v>
                </c:pt>
                <c:pt idx="2">
                  <c:v>4803.79</c:v>
                </c:pt>
                <c:pt idx="3">
                  <c:v>300</c:v>
                </c:pt>
                <c:pt idx="4">
                  <c:v>150</c:v>
                </c:pt>
                <c:pt idx="5">
                  <c:v>4539.68</c:v>
                </c:pt>
                <c:pt idx="6">
                  <c:v>6161.52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B2E-42DF-B7AE-C73110D5DC8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5"/>
        <c:gapDepth val="100"/>
        <c:shape val="box"/>
        <c:axId val="463055512"/>
        <c:axId val="463055904"/>
        <c:axId val="0"/>
      </c:bar3DChart>
      <c:catAx>
        <c:axId val="463055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055904"/>
        <c:crosses val="autoZero"/>
        <c:auto val="1"/>
        <c:lblAlgn val="ctr"/>
        <c:lblOffset val="100"/>
        <c:noMultiLvlLbl val="0"/>
      </c:catAx>
      <c:valAx>
        <c:axId val="46305590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055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</a:t>
            </a:r>
            <a:r>
              <a:rPr lang="en-US"/>
              <a:t>Additional Incentive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1-39F4-435B-BF65-55E44D9CD1B2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3-39F4-435B-BF65-55E44D9CD1B2}"/>
              </c:ext>
            </c:extLst>
          </c:dPt>
          <c:dPt>
            <c:idx val="2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5-39F4-435B-BF65-55E44D9CD1B2}"/>
              </c:ext>
            </c:extLst>
          </c:dPt>
          <c:dPt>
            <c:idx val="3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7-39F4-435B-BF65-55E44D9CD1B2}"/>
              </c:ext>
            </c:extLst>
          </c:dPt>
          <c:dPt>
            <c:idx val="4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9-39F4-435B-BF65-55E44D9CD1B2}"/>
              </c:ext>
            </c:extLst>
          </c:dPt>
          <c:dPt>
            <c:idx val="5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B-39F4-435B-BF65-55E44D9CD1B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'Designer Analysis'!$B$4:$B$10</c:f>
              <c:strCache>
                <c:ptCount val="7"/>
                <c:pt idx="0">
                  <c:v>BH</c:v>
                </c:pt>
                <c:pt idx="1">
                  <c:v>BS</c:v>
                </c:pt>
                <c:pt idx="2">
                  <c:v>CD</c:v>
                </c:pt>
                <c:pt idx="3">
                  <c:v>EK</c:v>
                </c:pt>
                <c:pt idx="4">
                  <c:v>EN</c:v>
                </c:pt>
                <c:pt idx="5">
                  <c:v>LJ</c:v>
                </c:pt>
                <c:pt idx="6">
                  <c:v>MW</c:v>
                </c:pt>
              </c:strCache>
            </c:strRef>
          </c:cat>
          <c:val>
            <c:numRef>
              <c:f>'Designer Analysis'!$J$4:$J$10</c:f>
              <c:numCache>
                <c:formatCode>"$"#,##0.00</c:formatCode>
                <c:ptCount val="7"/>
                <c:pt idx="0">
                  <c:v>0</c:v>
                </c:pt>
                <c:pt idx="1">
                  <c:v>85.367777777777789</c:v>
                </c:pt>
                <c:pt idx="2">
                  <c:v>102.20829787234042</c:v>
                </c:pt>
                <c:pt idx="3">
                  <c:v>75</c:v>
                </c:pt>
                <c:pt idx="4">
                  <c:v>150</c:v>
                </c:pt>
                <c:pt idx="5">
                  <c:v>85.654339622641515</c:v>
                </c:pt>
                <c:pt idx="6">
                  <c:v>110.02714285714286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B2E-42DF-B7AE-C73110D5DC8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5"/>
        <c:gapDepth val="100"/>
        <c:shape val="box"/>
        <c:axId val="463057080"/>
        <c:axId val="463057472"/>
        <c:axId val="0"/>
      </c:bar3DChart>
      <c:catAx>
        <c:axId val="463057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057472"/>
        <c:crosses val="autoZero"/>
        <c:auto val="1"/>
        <c:lblAlgn val="ctr"/>
        <c:lblOffset val="100"/>
        <c:noMultiLvlLbl val="0"/>
      </c:catAx>
      <c:valAx>
        <c:axId val="46305747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057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'Sales Location Analysis'!$C$2</c:f>
              <c:strCache>
                <c:ptCount val="1"/>
                <c:pt idx="0">
                  <c:v>Total sales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1-0264-4614-9A55-9FA5586C6DFA}"/>
              </c:ext>
            </c:extLst>
          </c:dPt>
          <c:dPt>
            <c:idx val="2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3-0264-4614-9A55-9FA5586C6DFA}"/>
              </c:ext>
            </c:extLst>
          </c:dPt>
          <c:dPt>
            <c:idx val="8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5-0264-4614-9A55-9FA5586C6DFA}"/>
              </c:ext>
            </c:extLst>
          </c:dPt>
          <c:dPt>
            <c:idx val="9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7-0264-4614-9A55-9FA5586C6DFA}"/>
              </c:ext>
            </c:extLst>
          </c:dPt>
          <c:dPt>
            <c:idx val="1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9-0264-4614-9A55-9FA5586C6DF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'Sales Location Analysis'!$B$4:$B$14</c:f>
              <c:strCache>
                <c:ptCount val="11"/>
                <c:pt idx="0">
                  <c:v>ABQ</c:v>
                </c:pt>
                <c:pt idx="1">
                  <c:v>Belen</c:v>
                </c:pt>
                <c:pt idx="2">
                  <c:v>Bernalillo</c:v>
                </c:pt>
                <c:pt idx="3">
                  <c:v>Los Alamos</c:v>
                </c:pt>
                <c:pt idx="4">
                  <c:v>Los Lunas</c:v>
                </c:pt>
                <c:pt idx="5">
                  <c:v>Rio Rancho</c:v>
                </c:pt>
                <c:pt idx="6">
                  <c:v>Sandia Park</c:v>
                </c:pt>
                <c:pt idx="7">
                  <c:v>Santa Fe</c:v>
                </c:pt>
                <c:pt idx="8">
                  <c:v>Taos</c:v>
                </c:pt>
                <c:pt idx="9">
                  <c:v>Tijeras</c:v>
                </c:pt>
                <c:pt idx="10">
                  <c:v>Valencia</c:v>
                </c:pt>
              </c:strCache>
            </c:strRef>
          </c:cat>
          <c:val>
            <c:numRef>
              <c:f>'Sales Location Analysis'!$C$4:$C$14</c:f>
              <c:numCache>
                <c:formatCode>"$"#,##0.00</c:formatCode>
                <c:ptCount val="11"/>
                <c:pt idx="0">
                  <c:v>2911043.82</c:v>
                </c:pt>
                <c:pt idx="1">
                  <c:v>5969.76</c:v>
                </c:pt>
                <c:pt idx="2">
                  <c:v>51859.569999999992</c:v>
                </c:pt>
                <c:pt idx="3">
                  <c:v>78914.98</c:v>
                </c:pt>
                <c:pt idx="4">
                  <c:v>69195.299999999988</c:v>
                </c:pt>
                <c:pt idx="5">
                  <c:v>650582.71000000008</c:v>
                </c:pt>
                <c:pt idx="6">
                  <c:v>16018.8</c:v>
                </c:pt>
                <c:pt idx="7">
                  <c:v>214350.09999999998</c:v>
                </c:pt>
                <c:pt idx="8">
                  <c:v>35627.910000000003</c:v>
                </c:pt>
                <c:pt idx="9">
                  <c:v>77597.22</c:v>
                </c:pt>
                <c:pt idx="10">
                  <c:v>90152.3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B2E-42DF-B7AE-C73110D5DC8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5"/>
        <c:gapDepth val="100"/>
        <c:shape val="box"/>
        <c:axId val="463161712"/>
        <c:axId val="463160144"/>
        <c:axId val="0"/>
      </c:bar3DChart>
      <c:catAx>
        <c:axId val="463161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160144"/>
        <c:crosses val="autoZero"/>
        <c:auto val="1"/>
        <c:lblAlgn val="ctr"/>
        <c:lblOffset val="100"/>
        <c:noMultiLvlLbl val="0"/>
      </c:catAx>
      <c:valAx>
        <c:axId val="463160144"/>
        <c:scaling>
          <c:orientation val="minMax"/>
          <c:max val="9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161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 # of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1-89B5-4F36-BC9B-CB244FF4C2E5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3-89B5-4F36-BC9B-CB244FF4C2E5}"/>
              </c:ext>
            </c:extLst>
          </c:dPt>
          <c:dPt>
            <c:idx val="7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5-89B5-4F36-BC9B-CB244FF4C2E5}"/>
              </c:ext>
            </c:extLst>
          </c:dPt>
          <c:dPt>
            <c:idx val="8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7-89B5-4F36-BC9B-CB244FF4C2E5}"/>
              </c:ext>
            </c:extLst>
          </c:dPt>
          <c:dPt>
            <c:idx val="9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9-89B5-4F36-BC9B-CB244FF4C2E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'Sales Location Analysis'!$B$4:$B$14</c:f>
              <c:strCache>
                <c:ptCount val="11"/>
                <c:pt idx="0">
                  <c:v>ABQ</c:v>
                </c:pt>
                <c:pt idx="1">
                  <c:v>Belen</c:v>
                </c:pt>
                <c:pt idx="2">
                  <c:v>Bernalillo</c:v>
                </c:pt>
                <c:pt idx="3">
                  <c:v>Los Alamos</c:v>
                </c:pt>
                <c:pt idx="4">
                  <c:v>Los Lunas</c:v>
                </c:pt>
                <c:pt idx="5">
                  <c:v>Rio Rancho</c:v>
                </c:pt>
                <c:pt idx="6">
                  <c:v>Sandia Park</c:v>
                </c:pt>
                <c:pt idx="7">
                  <c:v>Santa Fe</c:v>
                </c:pt>
                <c:pt idx="8">
                  <c:v>Taos</c:v>
                </c:pt>
                <c:pt idx="9">
                  <c:v>Tijeras</c:v>
                </c:pt>
                <c:pt idx="10">
                  <c:v>Valencia</c:v>
                </c:pt>
              </c:strCache>
            </c:strRef>
          </c:cat>
          <c:val>
            <c:numRef>
              <c:f>'Sales Location Analysis'!$D$4:$D$14</c:f>
              <c:numCache>
                <c:formatCode>0</c:formatCode>
                <c:ptCount val="11"/>
                <c:pt idx="0">
                  <c:v>151</c:v>
                </c:pt>
                <c:pt idx="1">
                  <c:v>1</c:v>
                </c:pt>
                <c:pt idx="2">
                  <c:v>4</c:v>
                </c:pt>
                <c:pt idx="3">
                  <c:v>6</c:v>
                </c:pt>
                <c:pt idx="4">
                  <c:v>5</c:v>
                </c:pt>
                <c:pt idx="5">
                  <c:v>42</c:v>
                </c:pt>
                <c:pt idx="6">
                  <c:v>1</c:v>
                </c:pt>
                <c:pt idx="7">
                  <c:v>13</c:v>
                </c:pt>
                <c:pt idx="8">
                  <c:v>1</c:v>
                </c:pt>
                <c:pt idx="9">
                  <c:v>2</c:v>
                </c:pt>
                <c:pt idx="1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B2E-42DF-B7AE-C73110D5DC8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5"/>
        <c:gapDepth val="100"/>
        <c:shape val="box"/>
        <c:axId val="463163672"/>
        <c:axId val="463160928"/>
        <c:axId val="0"/>
      </c:bar3DChart>
      <c:catAx>
        <c:axId val="463163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160928"/>
        <c:crosses val="autoZero"/>
        <c:auto val="1"/>
        <c:lblAlgn val="ctr"/>
        <c:lblOffset val="100"/>
        <c:noMultiLvlLbl val="0"/>
      </c:catAx>
      <c:valAx>
        <c:axId val="46316092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163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Average Sale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1-4C21-4BFA-9403-F2D2E7746591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3-4C21-4BFA-9403-F2D2E7746591}"/>
              </c:ext>
            </c:extLst>
          </c:dPt>
          <c:dPt>
            <c:idx val="7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5-4C21-4BFA-9403-F2D2E7746591}"/>
              </c:ext>
            </c:extLst>
          </c:dPt>
          <c:dPt>
            <c:idx val="8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7-4C21-4BFA-9403-F2D2E7746591}"/>
              </c:ext>
            </c:extLst>
          </c:dPt>
          <c:dPt>
            <c:idx val="9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9-4C21-4BFA-9403-F2D2E77465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'Sales Location Analysis'!$B$4:$B$14</c:f>
              <c:strCache>
                <c:ptCount val="11"/>
                <c:pt idx="0">
                  <c:v>ABQ</c:v>
                </c:pt>
                <c:pt idx="1">
                  <c:v>Belen</c:v>
                </c:pt>
                <c:pt idx="2">
                  <c:v>Bernalillo</c:v>
                </c:pt>
                <c:pt idx="3">
                  <c:v>Los Alamos</c:v>
                </c:pt>
                <c:pt idx="4">
                  <c:v>Los Lunas</c:v>
                </c:pt>
                <c:pt idx="5">
                  <c:v>Rio Rancho</c:v>
                </c:pt>
                <c:pt idx="6">
                  <c:v>Sandia Park</c:v>
                </c:pt>
                <c:pt idx="7">
                  <c:v>Santa Fe</c:v>
                </c:pt>
                <c:pt idx="8">
                  <c:v>Taos</c:v>
                </c:pt>
                <c:pt idx="9">
                  <c:v>Tijeras</c:v>
                </c:pt>
                <c:pt idx="10">
                  <c:v>Valencia</c:v>
                </c:pt>
              </c:strCache>
            </c:strRef>
          </c:cat>
          <c:val>
            <c:numRef>
              <c:f>'Sales Location Analysis'!$E$4:$E$14</c:f>
              <c:numCache>
                <c:formatCode>"$"#,##0.00</c:formatCode>
                <c:ptCount val="11"/>
                <c:pt idx="0">
                  <c:v>19278.435894039732</c:v>
                </c:pt>
                <c:pt idx="1">
                  <c:v>5969.76</c:v>
                </c:pt>
                <c:pt idx="2">
                  <c:v>12964.892499999998</c:v>
                </c:pt>
                <c:pt idx="3">
                  <c:v>13152.496666666666</c:v>
                </c:pt>
                <c:pt idx="4">
                  <c:v>13839.059999999998</c:v>
                </c:pt>
                <c:pt idx="5">
                  <c:v>15490.064523809526</c:v>
                </c:pt>
                <c:pt idx="6">
                  <c:v>16018.8</c:v>
                </c:pt>
                <c:pt idx="7">
                  <c:v>16488.469230769228</c:v>
                </c:pt>
                <c:pt idx="8">
                  <c:v>35627.910000000003</c:v>
                </c:pt>
                <c:pt idx="9">
                  <c:v>38798.61</c:v>
                </c:pt>
                <c:pt idx="10">
                  <c:v>18030.46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4C21-4BFA-9403-F2D2E774659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5"/>
        <c:gapDepth val="100"/>
        <c:shape val="box"/>
        <c:axId val="463160536"/>
        <c:axId val="463162888"/>
        <c:axId val="0"/>
      </c:bar3DChart>
      <c:catAx>
        <c:axId val="463160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162888"/>
        <c:crosses val="autoZero"/>
        <c:auto val="1"/>
        <c:lblAlgn val="ctr"/>
        <c:lblOffset val="100"/>
        <c:noMultiLvlLbl val="0"/>
      </c:catAx>
      <c:valAx>
        <c:axId val="463162888"/>
        <c:scaling>
          <c:orientation val="minMax"/>
          <c:max val="35000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160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</a:t>
            </a:r>
            <a:r>
              <a:rPr lang="en-US"/>
              <a:t>Margin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1-0879-482D-A36C-EA78929FDC08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3-0879-482D-A36C-EA78929FDC08}"/>
              </c:ext>
            </c:extLst>
          </c:dPt>
          <c:dPt>
            <c:idx val="7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5-0879-482D-A36C-EA78929FDC08}"/>
              </c:ext>
            </c:extLst>
          </c:dPt>
          <c:dPt>
            <c:idx val="8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7-0879-482D-A36C-EA78929FDC08}"/>
              </c:ext>
            </c:extLst>
          </c:dPt>
          <c:dPt>
            <c:idx val="9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9-0879-482D-A36C-EA78929FDC0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'Sales Location Analysis'!$B$4:$B$14</c:f>
              <c:strCache>
                <c:ptCount val="11"/>
                <c:pt idx="0">
                  <c:v>ABQ</c:v>
                </c:pt>
                <c:pt idx="1">
                  <c:v>Belen</c:v>
                </c:pt>
                <c:pt idx="2">
                  <c:v>Bernalillo</c:v>
                </c:pt>
                <c:pt idx="3">
                  <c:v>Los Alamos</c:v>
                </c:pt>
                <c:pt idx="4">
                  <c:v>Los Lunas</c:v>
                </c:pt>
                <c:pt idx="5">
                  <c:v>Rio Rancho</c:v>
                </c:pt>
                <c:pt idx="6">
                  <c:v>Sandia Park</c:v>
                </c:pt>
                <c:pt idx="7">
                  <c:v>Santa Fe</c:v>
                </c:pt>
                <c:pt idx="8">
                  <c:v>Taos</c:v>
                </c:pt>
                <c:pt idx="9">
                  <c:v>Tijeras</c:v>
                </c:pt>
                <c:pt idx="10">
                  <c:v>Valencia</c:v>
                </c:pt>
              </c:strCache>
            </c:strRef>
          </c:cat>
          <c:val>
            <c:numRef>
              <c:f>'Sales Location Analysis'!$F$4:$F$14</c:f>
              <c:numCache>
                <c:formatCode>0.00%</c:formatCode>
                <c:ptCount val="11"/>
                <c:pt idx="0">
                  <c:v>0.52235615194802942</c:v>
                </c:pt>
                <c:pt idx="1">
                  <c:v>0.50696845434322313</c:v>
                </c:pt>
                <c:pt idx="2">
                  <c:v>0.51983491427666206</c:v>
                </c:pt>
                <c:pt idx="3">
                  <c:v>0.5559162996194047</c:v>
                </c:pt>
                <c:pt idx="4">
                  <c:v>0.54673249939167368</c:v>
                </c:pt>
                <c:pt idx="5">
                  <c:v>0.53431621224763626</c:v>
                </c:pt>
                <c:pt idx="6">
                  <c:v>0.50919606961819863</c:v>
                </c:pt>
                <c:pt idx="7">
                  <c:v>0.48254760733872604</c:v>
                </c:pt>
                <c:pt idx="8">
                  <c:v>0.61290179524984767</c:v>
                </c:pt>
                <c:pt idx="9">
                  <c:v>0.43667111266614977</c:v>
                </c:pt>
                <c:pt idx="10">
                  <c:v>0.57841905882133449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B2E-42DF-B7AE-C73110D5DC8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5"/>
        <c:gapDepth val="100"/>
        <c:shape val="box"/>
        <c:axId val="463163280"/>
        <c:axId val="464368584"/>
        <c:axId val="0"/>
      </c:bar3DChart>
      <c:catAx>
        <c:axId val="463163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368584"/>
        <c:crosses val="autoZero"/>
        <c:auto val="1"/>
        <c:lblAlgn val="ctr"/>
        <c:lblOffset val="100"/>
        <c:noMultiLvlLbl val="0"/>
      </c:catAx>
      <c:valAx>
        <c:axId val="464368584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163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Margin by Product Classification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0-DE02-4891-9AC0-EC32A45D05EE}"/>
              </c:ext>
            </c:extLst>
          </c:dPt>
          <c:dPt>
            <c:idx val="2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1-DE02-4891-9AC0-EC32A45D05EE}"/>
              </c:ext>
            </c:extLst>
          </c:dPt>
          <c:dPt>
            <c:idx val="3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2-DE02-4891-9AC0-EC32A45D05EE}"/>
              </c:ext>
            </c:extLst>
          </c:dPt>
          <c:dPt>
            <c:idx val="4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3-DE02-4891-9AC0-EC32A45D05E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'Product Margin Analysis'!$B$23:$B$27</c:f>
              <c:strCache>
                <c:ptCount val="5"/>
                <c:pt idx="0">
                  <c:v>Bath</c:v>
                </c:pt>
                <c:pt idx="1">
                  <c:v>Kitchen</c:v>
                </c:pt>
                <c:pt idx="2">
                  <c:v>Patio Covers</c:v>
                </c:pt>
                <c:pt idx="3">
                  <c:v>Sunroom</c:v>
                </c:pt>
                <c:pt idx="4">
                  <c:v>Windows</c:v>
                </c:pt>
              </c:strCache>
            </c:strRef>
          </c:cat>
          <c:val>
            <c:numRef>
              <c:f>'Product Margin Analysis'!$C$23:$C$27</c:f>
              <c:numCache>
                <c:formatCode>General</c:formatCode>
                <c:ptCount val="5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B2E-42DF-B7AE-C73110D5DC8B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Pt>
            <c:idx val="0"/>
            <c:invertIfNegative val="0"/>
            <c:bubble3D val="0"/>
            <c:spPr>
              <a:solidFill>
                <a:srgbClr val="5B9BD5">
                  <a:lumMod val="60000"/>
                  <a:lumOff val="40000"/>
                </a:srgb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DE02-4891-9AC0-EC32A45D05EE}"/>
              </c:ext>
            </c:extLst>
          </c:dPt>
          <c:dPt>
            <c:idx val="1"/>
            <c:invertIfNegative val="0"/>
            <c:bubble3D val="0"/>
            <c:spPr>
              <a:solidFill>
                <a:srgbClr val="4472C4">
                  <a:lumMod val="60000"/>
                  <a:lumOff val="40000"/>
                </a:srgb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DE02-4891-9AC0-EC32A45D05EE}"/>
              </c:ext>
            </c:extLst>
          </c:dPt>
          <c:dPt>
            <c:idx val="2"/>
            <c:invertIfNegative val="0"/>
            <c:bubble3D val="0"/>
            <c:spPr>
              <a:solidFill>
                <a:srgbClr val="70AD47">
                  <a:lumMod val="60000"/>
                  <a:lumOff val="40000"/>
                </a:srgb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DE02-4891-9AC0-EC32A45D05EE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>
                  <a:lumMod val="60000"/>
                  <a:lumOff val="40000"/>
                </a:srgb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DE02-4891-9AC0-EC32A45D05EE}"/>
              </c:ext>
            </c:extLst>
          </c:dPt>
          <c:dPt>
            <c:idx val="4"/>
            <c:invertIfNegative val="0"/>
            <c:bubble3D val="0"/>
            <c:spPr>
              <a:solidFill>
                <a:srgbClr val="ED7D31">
                  <a:lumMod val="60000"/>
                  <a:lumOff val="40000"/>
                </a:srgb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DE02-4891-9AC0-EC32A45D05E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'Product Margin Analysis'!$B$23:$B$27</c:f>
              <c:strCache>
                <c:ptCount val="5"/>
                <c:pt idx="0">
                  <c:v>Bath</c:v>
                </c:pt>
                <c:pt idx="1">
                  <c:v>Kitchen</c:v>
                </c:pt>
                <c:pt idx="2">
                  <c:v>Patio Covers</c:v>
                </c:pt>
                <c:pt idx="3">
                  <c:v>Sunroom</c:v>
                </c:pt>
                <c:pt idx="4">
                  <c:v>Windows</c:v>
                </c:pt>
              </c:strCache>
            </c:strRef>
          </c:cat>
          <c:val>
            <c:numRef>
              <c:f>'Product Margin Analysis'!$D$23:$D$27</c:f>
              <c:numCache>
                <c:formatCode>0.0%</c:formatCode>
                <c:ptCount val="5"/>
                <c:pt idx="0">
                  <c:v>0.51154611806863626</c:v>
                </c:pt>
                <c:pt idx="1">
                  <c:v>0.5255112604444484</c:v>
                </c:pt>
                <c:pt idx="2">
                  <c:v>0.55585185818685401</c:v>
                </c:pt>
                <c:pt idx="3">
                  <c:v>0.57265000244755193</c:v>
                </c:pt>
                <c:pt idx="4">
                  <c:v>0.45526708532353727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E-DE02-4891-9AC0-EC32A45D05E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5"/>
        <c:gapDepth val="100"/>
        <c:shape val="box"/>
        <c:axId val="139005216"/>
        <c:axId val="139003648"/>
        <c:axId val="0"/>
      </c:bar3DChart>
      <c:catAx>
        <c:axId val="139005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003648"/>
        <c:crosses val="autoZero"/>
        <c:auto val="1"/>
        <c:lblAlgn val="ctr"/>
        <c:lblOffset val="100"/>
        <c:noMultiLvlLbl val="0"/>
      </c:catAx>
      <c:valAx>
        <c:axId val="139003648"/>
        <c:scaling>
          <c:orientation val="minMax"/>
          <c:max val="0.6100000000000001"/>
          <c:min val="0.45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005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</a:t>
            </a:r>
            <a:r>
              <a:rPr lang="en-US"/>
              <a:t>Over/Under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C57A-4FC3-A72A-31C929CCDDC3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C57A-4FC3-A72A-31C929CCDDC3}"/>
              </c:ext>
            </c:extLst>
          </c:dPt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C57A-4FC3-A72A-31C929CCDDC3}"/>
              </c:ext>
            </c:extLst>
          </c:dPt>
          <c:dPt>
            <c:idx val="3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C57A-4FC3-A72A-31C929CCDDC3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C57A-4FC3-A72A-31C929CCDDC3}"/>
              </c:ext>
            </c:extLst>
          </c:dPt>
          <c:dPt>
            <c:idx val="5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C57A-4FC3-A72A-31C929CCDDC3}"/>
              </c:ext>
            </c:extLst>
          </c:dPt>
          <c:dPt>
            <c:idx val="6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C57A-4FC3-A72A-31C929CCDDC3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C57A-4FC3-A72A-31C929CCDDC3}"/>
              </c:ext>
            </c:extLst>
          </c:dPt>
          <c:dPt>
            <c:idx val="8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C57A-4FC3-A72A-31C929CCDDC3}"/>
              </c:ext>
            </c:extLst>
          </c:dPt>
          <c:dPt>
            <c:idx val="9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C57A-4FC3-A72A-31C929CCDDC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'Sales Location Analysis'!$B$4:$B$14</c:f>
              <c:strCache>
                <c:ptCount val="11"/>
                <c:pt idx="0">
                  <c:v>ABQ</c:v>
                </c:pt>
                <c:pt idx="1">
                  <c:v>Belen</c:v>
                </c:pt>
                <c:pt idx="2">
                  <c:v>Bernalillo</c:v>
                </c:pt>
                <c:pt idx="3">
                  <c:v>Los Alamos</c:v>
                </c:pt>
                <c:pt idx="4">
                  <c:v>Los Lunas</c:v>
                </c:pt>
                <c:pt idx="5">
                  <c:v>Rio Rancho</c:v>
                </c:pt>
                <c:pt idx="6">
                  <c:v>Sandia Park</c:v>
                </c:pt>
                <c:pt idx="7">
                  <c:v>Santa Fe</c:v>
                </c:pt>
                <c:pt idx="8">
                  <c:v>Taos</c:v>
                </c:pt>
                <c:pt idx="9">
                  <c:v>Tijeras</c:v>
                </c:pt>
                <c:pt idx="10">
                  <c:v>Valencia</c:v>
                </c:pt>
              </c:strCache>
            </c:strRef>
          </c:cat>
          <c:val>
            <c:numRef>
              <c:f>'Sales Location Analysis'!$G$4:$G$14</c:f>
              <c:numCache>
                <c:formatCode>"$"#,##0.00</c:formatCode>
                <c:ptCount val="11"/>
                <c:pt idx="0">
                  <c:v>676.29933774834433</c:v>
                </c:pt>
                <c:pt idx="1">
                  <c:v>-6.84</c:v>
                </c:pt>
                <c:pt idx="2">
                  <c:v>170.46750000000009</c:v>
                </c:pt>
                <c:pt idx="3">
                  <c:v>850.38166666666666</c:v>
                </c:pt>
                <c:pt idx="4">
                  <c:v>343.40999999999997</c:v>
                </c:pt>
                <c:pt idx="5">
                  <c:v>529.46214285714291</c:v>
                </c:pt>
                <c:pt idx="6">
                  <c:v>333.9</c:v>
                </c:pt>
                <c:pt idx="7">
                  <c:v>240.39153846153846</c:v>
                </c:pt>
                <c:pt idx="8">
                  <c:v>4511.51</c:v>
                </c:pt>
                <c:pt idx="9">
                  <c:v>86.860000000000014</c:v>
                </c:pt>
                <c:pt idx="10">
                  <c:v>966.17400000000021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B2E-42DF-B7AE-C73110D5DC8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5"/>
        <c:gapDepth val="100"/>
        <c:shape val="box"/>
        <c:axId val="464367408"/>
        <c:axId val="464367800"/>
        <c:axId val="0"/>
      </c:bar3DChart>
      <c:catAx>
        <c:axId val="464367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367800"/>
        <c:crossesAt val="-500"/>
        <c:auto val="1"/>
        <c:lblAlgn val="ctr"/>
        <c:lblOffset val="100"/>
        <c:noMultiLvlLbl val="0"/>
      </c:catAx>
      <c:valAx>
        <c:axId val="464367800"/>
        <c:scaling>
          <c:orientation val="minMax"/>
          <c:min val="-5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&quot;$&quot;#,##0.00_);[Red]\(&quot;$&quot;#,##0.0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367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'Sales by month'!$C$2</c:f>
              <c:strCache>
                <c:ptCount val="1"/>
                <c:pt idx="0">
                  <c:v>Total sales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1-3F54-4D26-9A7A-CF9D0C3FC11F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3-3F54-4D26-9A7A-CF9D0C3FC11F}"/>
              </c:ext>
            </c:extLst>
          </c:dPt>
          <c:dPt>
            <c:idx val="2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5-3F54-4D26-9A7A-CF9D0C3FC11F}"/>
              </c:ext>
            </c:extLst>
          </c:dPt>
          <c:dPt>
            <c:idx val="3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7-3F54-4D26-9A7A-CF9D0C3FC11F}"/>
              </c:ext>
            </c:extLst>
          </c:dPt>
          <c:dPt>
            <c:idx val="4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9-3F54-4D26-9A7A-CF9D0C3FC11F}"/>
              </c:ext>
            </c:extLst>
          </c:dPt>
          <c:dPt>
            <c:idx val="5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B-3F54-4D26-9A7A-CF9D0C3FC11F}"/>
              </c:ext>
            </c:extLst>
          </c:dPt>
          <c:dPt>
            <c:idx val="1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D-3F54-4D26-9A7A-CF9D0C3FC11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'Sales by month'!$B$4:$B$15</c:f>
              <c:numCache>
                <c:formatCode>mmmm</c:formatCode>
                <c:ptCount val="12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</c:numCache>
            </c:numRef>
          </c:cat>
          <c:val>
            <c:numRef>
              <c:f>'Sales by month'!$C$4:$C$15</c:f>
              <c:numCache>
                <c:formatCode>"$"#,##0.00</c:formatCode>
                <c:ptCount val="12"/>
                <c:pt idx="0">
                  <c:v>367897.90999999992</c:v>
                </c:pt>
                <c:pt idx="1">
                  <c:v>342677.60000000003</c:v>
                </c:pt>
                <c:pt idx="2">
                  <c:v>317298.01</c:v>
                </c:pt>
                <c:pt idx="3">
                  <c:v>582201.37000000011</c:v>
                </c:pt>
                <c:pt idx="4">
                  <c:v>452144.47</c:v>
                </c:pt>
                <c:pt idx="5">
                  <c:v>258241.92999999993</c:v>
                </c:pt>
                <c:pt idx="6">
                  <c:v>287965.94</c:v>
                </c:pt>
                <c:pt idx="7">
                  <c:v>351377.25</c:v>
                </c:pt>
                <c:pt idx="8">
                  <c:v>191581.59999999998</c:v>
                </c:pt>
                <c:pt idx="9">
                  <c:v>430841.86</c:v>
                </c:pt>
                <c:pt idx="10">
                  <c:v>409413.46</c:v>
                </c:pt>
                <c:pt idx="11">
                  <c:v>315163.92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B2E-42DF-B7AE-C73110D5DC8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5"/>
        <c:gapDepth val="100"/>
        <c:shape val="box"/>
        <c:axId val="464368192"/>
        <c:axId val="464365840"/>
        <c:axId val="0"/>
      </c:bar3DChart>
      <c:dateAx>
        <c:axId val="464368192"/>
        <c:scaling>
          <c:orientation val="minMax"/>
        </c:scaling>
        <c:delete val="0"/>
        <c:axPos val="b"/>
        <c:numFmt formatCode="m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365840"/>
        <c:crosses val="autoZero"/>
        <c:auto val="1"/>
        <c:lblOffset val="100"/>
        <c:baseTimeUnit val="months"/>
      </c:dateAx>
      <c:valAx>
        <c:axId val="46436584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368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 # of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1-906B-4A95-B603-E20C900C748F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3-906B-4A95-B603-E20C900C748F}"/>
              </c:ext>
            </c:extLst>
          </c:dPt>
          <c:dPt>
            <c:idx val="2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5-906B-4A95-B603-E20C900C748F}"/>
              </c:ext>
            </c:extLst>
          </c:dPt>
          <c:dPt>
            <c:idx val="3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7-906B-4A95-B603-E20C900C748F}"/>
              </c:ext>
            </c:extLst>
          </c:dPt>
          <c:dPt>
            <c:idx val="4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9-906B-4A95-B603-E20C900C748F}"/>
              </c:ext>
            </c:extLst>
          </c:dPt>
          <c:dPt>
            <c:idx val="5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B-906B-4A95-B603-E20C900C748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'Sales by month'!$B$4:$B$15</c:f>
              <c:numCache>
                <c:formatCode>mmmm</c:formatCode>
                <c:ptCount val="12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</c:numCache>
            </c:numRef>
          </c:cat>
          <c:val>
            <c:numRef>
              <c:f>'Sales by month'!$D$4:$D$15</c:f>
              <c:numCache>
                <c:formatCode>0</c:formatCode>
                <c:ptCount val="12"/>
                <c:pt idx="0">
                  <c:v>18</c:v>
                </c:pt>
                <c:pt idx="1">
                  <c:v>19</c:v>
                </c:pt>
                <c:pt idx="2">
                  <c:v>21</c:v>
                </c:pt>
                <c:pt idx="3">
                  <c:v>32</c:v>
                </c:pt>
                <c:pt idx="4">
                  <c:v>26</c:v>
                </c:pt>
                <c:pt idx="5">
                  <c:v>19</c:v>
                </c:pt>
                <c:pt idx="6">
                  <c:v>16</c:v>
                </c:pt>
                <c:pt idx="7">
                  <c:v>18</c:v>
                </c:pt>
                <c:pt idx="8">
                  <c:v>16</c:v>
                </c:pt>
                <c:pt idx="9">
                  <c:v>20</c:v>
                </c:pt>
                <c:pt idx="10">
                  <c:v>15</c:v>
                </c:pt>
                <c:pt idx="11">
                  <c:v>14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B2E-42DF-B7AE-C73110D5DC8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5"/>
        <c:gapDepth val="100"/>
        <c:shape val="box"/>
        <c:axId val="464369760"/>
        <c:axId val="464367016"/>
        <c:axId val="0"/>
      </c:bar3DChart>
      <c:dateAx>
        <c:axId val="464369760"/>
        <c:scaling>
          <c:orientation val="minMax"/>
        </c:scaling>
        <c:delete val="0"/>
        <c:axPos val="b"/>
        <c:numFmt formatCode="m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367016"/>
        <c:crosses val="autoZero"/>
        <c:auto val="1"/>
        <c:lblOffset val="100"/>
        <c:baseTimeUnit val="months"/>
      </c:dateAx>
      <c:valAx>
        <c:axId val="46436701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369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Average Sale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1-8F63-45CB-987C-DC2CFC28BEAD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3-8F63-45CB-987C-DC2CFC28BEAD}"/>
              </c:ext>
            </c:extLst>
          </c:dPt>
          <c:dPt>
            <c:idx val="2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5-8F63-45CB-987C-DC2CFC28BEAD}"/>
              </c:ext>
            </c:extLst>
          </c:dPt>
          <c:dPt>
            <c:idx val="3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7-8F63-45CB-987C-DC2CFC28BEAD}"/>
              </c:ext>
            </c:extLst>
          </c:dPt>
          <c:dPt>
            <c:idx val="4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9-8F63-45CB-987C-DC2CFC28BEAD}"/>
              </c:ext>
            </c:extLst>
          </c:dPt>
          <c:dPt>
            <c:idx val="5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B-8F63-45CB-987C-DC2CFC28BEA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'Sales by month'!$B$4:$B$15</c:f>
              <c:numCache>
                <c:formatCode>mmmm</c:formatCode>
                <c:ptCount val="12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</c:numCache>
            </c:numRef>
          </c:cat>
          <c:val>
            <c:numRef>
              <c:f>'Sales by month'!$E$4:$E$15</c:f>
              <c:numCache>
                <c:formatCode>"$"#,##0.00</c:formatCode>
                <c:ptCount val="12"/>
                <c:pt idx="0">
                  <c:v>20438.772777777773</c:v>
                </c:pt>
                <c:pt idx="1">
                  <c:v>18035.663157894738</c:v>
                </c:pt>
                <c:pt idx="2">
                  <c:v>15109.429047619047</c:v>
                </c:pt>
                <c:pt idx="3">
                  <c:v>18193.792812500003</c:v>
                </c:pt>
                <c:pt idx="4">
                  <c:v>17390.171923076923</c:v>
                </c:pt>
                <c:pt idx="5">
                  <c:v>13591.680526315786</c:v>
                </c:pt>
                <c:pt idx="6">
                  <c:v>17997.87125</c:v>
                </c:pt>
                <c:pt idx="7">
                  <c:v>19520.958333333332</c:v>
                </c:pt>
                <c:pt idx="8">
                  <c:v>11973.849999999999</c:v>
                </c:pt>
                <c:pt idx="9">
                  <c:v>21542.093000000001</c:v>
                </c:pt>
                <c:pt idx="10">
                  <c:v>27294.230666666666</c:v>
                </c:pt>
                <c:pt idx="11">
                  <c:v>22511.708571428571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B2E-42DF-B7AE-C73110D5DC8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5"/>
        <c:gapDepth val="100"/>
        <c:shape val="box"/>
        <c:axId val="464366232"/>
        <c:axId val="464366624"/>
        <c:axId val="0"/>
      </c:bar3DChart>
      <c:dateAx>
        <c:axId val="464366232"/>
        <c:scaling>
          <c:orientation val="minMax"/>
        </c:scaling>
        <c:delete val="0"/>
        <c:axPos val="b"/>
        <c:numFmt formatCode="m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366624"/>
        <c:crosses val="autoZero"/>
        <c:auto val="1"/>
        <c:lblOffset val="100"/>
        <c:baseTimeUnit val="months"/>
      </c:dateAx>
      <c:valAx>
        <c:axId val="46436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366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Average Margin</a:t>
            </a:r>
          </a:p>
        </c:rich>
      </c:tx>
      <c:layout>
        <c:manualLayout>
          <c:xMode val="edge"/>
          <c:yMode val="edge"/>
          <c:x val="0.46853544586634166"/>
          <c:y val="1.29554644857054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1-8B25-4300-9C00-022ABCA6CEC7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3-8B25-4300-9C00-022ABCA6CEC7}"/>
              </c:ext>
            </c:extLst>
          </c:dPt>
          <c:dPt>
            <c:idx val="2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5-8B25-4300-9C00-022ABCA6CEC7}"/>
              </c:ext>
            </c:extLst>
          </c:dPt>
          <c:dPt>
            <c:idx val="3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7-8B25-4300-9C00-022ABCA6CEC7}"/>
              </c:ext>
            </c:extLst>
          </c:dPt>
          <c:dPt>
            <c:idx val="4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9-8B25-4300-9C00-022ABCA6CEC7}"/>
              </c:ext>
            </c:extLst>
          </c:dPt>
          <c:dPt>
            <c:idx val="5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B-8B25-4300-9C00-022ABCA6CEC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'Sales by month'!$B$4:$B$15</c:f>
              <c:numCache>
                <c:formatCode>mmmm</c:formatCode>
                <c:ptCount val="12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</c:numCache>
            </c:numRef>
          </c:cat>
          <c:val>
            <c:numRef>
              <c:f>'Sales by month'!$F$4:$F$15</c:f>
              <c:numCache>
                <c:formatCode>0.00%</c:formatCode>
                <c:ptCount val="12"/>
                <c:pt idx="0">
                  <c:v>0.52565317227120356</c:v>
                </c:pt>
                <c:pt idx="1">
                  <c:v>0.51857555980871661</c:v>
                </c:pt>
                <c:pt idx="2">
                  <c:v>0.53773931232668759</c:v>
                </c:pt>
                <c:pt idx="3">
                  <c:v>0.50692064321911057</c:v>
                </c:pt>
                <c:pt idx="4">
                  <c:v>0.52147390519361403</c:v>
                </c:pt>
                <c:pt idx="5">
                  <c:v>0.54502370302281844</c:v>
                </c:pt>
                <c:pt idx="6">
                  <c:v>0.50458266495682125</c:v>
                </c:pt>
                <c:pt idx="7">
                  <c:v>0.51892535496468684</c:v>
                </c:pt>
                <c:pt idx="8">
                  <c:v>0.49766300578455236</c:v>
                </c:pt>
                <c:pt idx="9">
                  <c:v>0.51472771640442916</c:v>
                </c:pt>
                <c:pt idx="10">
                  <c:v>0.54568693248916311</c:v>
                </c:pt>
                <c:pt idx="11">
                  <c:v>0.53355169277627668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B2E-42DF-B7AE-C73110D5DC8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5"/>
        <c:gapDepth val="100"/>
        <c:shape val="box"/>
        <c:axId val="464369368"/>
        <c:axId val="464363880"/>
        <c:axId val="0"/>
      </c:bar3DChart>
      <c:dateAx>
        <c:axId val="464369368"/>
        <c:scaling>
          <c:orientation val="minMax"/>
        </c:scaling>
        <c:delete val="0"/>
        <c:axPos val="b"/>
        <c:numFmt formatCode="mmmm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363880"/>
        <c:crosses val="autoZero"/>
        <c:auto val="1"/>
        <c:lblOffset val="100"/>
        <c:baseTimeUnit val="months"/>
      </c:dateAx>
      <c:valAx>
        <c:axId val="464363880"/>
        <c:scaling>
          <c:orientation val="minMax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369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'Product Revenue Analysis'!$D$2</c:f>
              <c:strCache>
                <c:ptCount val="1"/>
                <c:pt idx="0">
                  <c:v>Net Sale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7750-44ED-AE63-56C55F32852E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7750-44ED-AE63-56C55F32852E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7750-44ED-AE63-56C55F32852E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7750-44ED-AE63-56C55F32852E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7750-44ED-AE63-56C55F32852E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7750-44ED-AE63-56C55F32852E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7750-44ED-AE63-56C55F32852E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7750-44ED-AE63-56C55F32852E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7750-44ED-AE63-56C55F32852E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7750-44ED-AE63-56C55F32852E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5-7750-44ED-AE63-56C55F32852E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7-7750-44ED-AE63-56C55F32852E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9-7750-44ED-AE63-56C55F32852E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B-7750-44ED-AE63-56C55F32852E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D-7750-44ED-AE63-56C55F32852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'Product Revenue Analysis'!$C$4:$C$18</c:f>
              <c:strCache>
                <c:ptCount val="15"/>
                <c:pt idx="0">
                  <c:v>B</c:v>
                </c:pt>
                <c:pt idx="1">
                  <c:v>K</c:v>
                </c:pt>
                <c:pt idx="2">
                  <c:v>FP</c:v>
                </c:pt>
                <c:pt idx="3">
                  <c:v>IR</c:v>
                </c:pt>
                <c:pt idx="4">
                  <c:v>LC</c:v>
                </c:pt>
                <c:pt idx="5">
                  <c:v>OP</c:v>
                </c:pt>
                <c:pt idx="6">
                  <c:v>VP</c:v>
                </c:pt>
                <c:pt idx="7">
                  <c:v>SR-206</c:v>
                </c:pt>
                <c:pt idx="8">
                  <c:v>SR-306</c:v>
                </c:pt>
                <c:pt idx="9">
                  <c:v>SR-406</c:v>
                </c:pt>
                <c:pt idx="10">
                  <c:v>SR-VV</c:v>
                </c:pt>
                <c:pt idx="11">
                  <c:v>SCR-WO</c:v>
                </c:pt>
                <c:pt idx="12">
                  <c:v>D</c:v>
                </c:pt>
                <c:pt idx="13">
                  <c:v>W (A)</c:v>
                </c:pt>
                <c:pt idx="14">
                  <c:v>W</c:v>
                </c:pt>
              </c:strCache>
            </c:strRef>
          </c:cat>
          <c:val>
            <c:numRef>
              <c:f>'Product Revenue Analysis'!$D$4:$D$18</c:f>
              <c:numCache>
                <c:formatCode>"$"#,##0.00</c:formatCode>
                <c:ptCount val="15"/>
                <c:pt idx="0">
                  <c:v>378761.24000000005</c:v>
                </c:pt>
                <c:pt idx="1">
                  <c:v>1031874.26</c:v>
                </c:pt>
                <c:pt idx="2">
                  <c:v>72349.56</c:v>
                </c:pt>
                <c:pt idx="3">
                  <c:v>404821.97</c:v>
                </c:pt>
                <c:pt idx="4">
                  <c:v>165171.72999999998</c:v>
                </c:pt>
                <c:pt idx="5">
                  <c:v>56306.520000000004</c:v>
                </c:pt>
                <c:pt idx="6">
                  <c:v>22962.339999999997</c:v>
                </c:pt>
                <c:pt idx="7">
                  <c:v>91786.44</c:v>
                </c:pt>
                <c:pt idx="8">
                  <c:v>355321.75000000006</c:v>
                </c:pt>
                <c:pt idx="9">
                  <c:v>397237.51</c:v>
                </c:pt>
                <c:pt idx="10">
                  <c:v>136559.76999999999</c:v>
                </c:pt>
                <c:pt idx="11">
                  <c:v>7614.63</c:v>
                </c:pt>
                <c:pt idx="12">
                  <c:v>40153.590000000004</c:v>
                </c:pt>
                <c:pt idx="13">
                  <c:v>234737.68</c:v>
                </c:pt>
                <c:pt idx="14">
                  <c:v>274451.45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B2E-42DF-B7AE-C73110D5DC8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5"/>
        <c:gapDepth val="100"/>
        <c:shape val="box"/>
        <c:axId val="462158792"/>
        <c:axId val="462152912"/>
        <c:axId val="0"/>
      </c:bar3DChart>
      <c:catAx>
        <c:axId val="462158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152912"/>
        <c:crosses val="autoZero"/>
        <c:auto val="1"/>
        <c:lblAlgn val="ctr"/>
        <c:lblOffset val="100"/>
        <c:noMultiLvlLbl val="0"/>
      </c:catAx>
      <c:valAx>
        <c:axId val="46215291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158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1"/>
          <c:order val="1"/>
          <c:tx>
            <c:strRef>
              <c:f>'Product Revenue Analysis'!$E$2</c:f>
              <c:strCache>
                <c:ptCount val="1"/>
                <c:pt idx="0">
                  <c:v>Average Sale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Pt>
            <c:idx val="1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0006-49BD-A0B6-293E22CA57A9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0006-49BD-A0B6-293E22CA57A9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0006-49BD-A0B6-293E22CA57A9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0006-49BD-A0B6-293E22CA57A9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0006-49BD-A0B6-293E22CA57A9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0006-49BD-A0B6-293E22CA57A9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0006-49BD-A0B6-293E22CA57A9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0006-49BD-A0B6-293E22CA57A9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0006-49BD-A0B6-293E22CA57A9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0006-49BD-A0B6-293E22CA57A9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5-0006-49BD-A0B6-293E22CA57A9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7-0006-49BD-A0B6-293E22CA57A9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9-0006-49BD-A0B6-293E22CA57A9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B-0006-49BD-A0B6-293E22CA57A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'Product Revenue Analysis'!$C$4:$C$18</c:f>
              <c:strCache>
                <c:ptCount val="15"/>
                <c:pt idx="0">
                  <c:v>B</c:v>
                </c:pt>
                <c:pt idx="1">
                  <c:v>K</c:v>
                </c:pt>
                <c:pt idx="2">
                  <c:v>FP</c:v>
                </c:pt>
                <c:pt idx="3">
                  <c:v>IR</c:v>
                </c:pt>
                <c:pt idx="4">
                  <c:v>LC</c:v>
                </c:pt>
                <c:pt idx="5">
                  <c:v>OP</c:v>
                </c:pt>
                <c:pt idx="6">
                  <c:v>VP</c:v>
                </c:pt>
                <c:pt idx="7">
                  <c:v>SR-206</c:v>
                </c:pt>
                <c:pt idx="8">
                  <c:v>SR-306</c:v>
                </c:pt>
                <c:pt idx="9">
                  <c:v>SR-406</c:v>
                </c:pt>
                <c:pt idx="10">
                  <c:v>SR-VV</c:v>
                </c:pt>
                <c:pt idx="11">
                  <c:v>SCR-WO</c:v>
                </c:pt>
                <c:pt idx="12">
                  <c:v>D</c:v>
                </c:pt>
                <c:pt idx="13">
                  <c:v>W (A)</c:v>
                </c:pt>
                <c:pt idx="14">
                  <c:v>W</c:v>
                </c:pt>
              </c:strCache>
            </c:strRef>
          </c:cat>
          <c:val>
            <c:numRef>
              <c:f>'Product Revenue Analysis'!$E$4:$E$18</c:f>
              <c:numCache>
                <c:formatCode>"$"#,##0.00</c:formatCode>
                <c:ptCount val="15"/>
                <c:pt idx="0">
                  <c:v>10236.790270270272</c:v>
                </c:pt>
                <c:pt idx="1">
                  <c:v>33286.266451612901</c:v>
                </c:pt>
                <c:pt idx="2">
                  <c:v>9043.6949999999997</c:v>
                </c:pt>
                <c:pt idx="3">
                  <c:v>13494.065666666665</c:v>
                </c:pt>
                <c:pt idx="4">
                  <c:v>9715.9841176470582</c:v>
                </c:pt>
                <c:pt idx="5">
                  <c:v>28153.260000000002</c:v>
                </c:pt>
                <c:pt idx="6">
                  <c:v>5740.5849999999991</c:v>
                </c:pt>
                <c:pt idx="7">
                  <c:v>22946.61</c:v>
                </c:pt>
                <c:pt idx="8">
                  <c:v>35532.175000000003</c:v>
                </c:pt>
                <c:pt idx="9">
                  <c:v>39723.751000000004</c:v>
                </c:pt>
                <c:pt idx="10">
                  <c:v>19508.538571428569</c:v>
                </c:pt>
                <c:pt idx="11">
                  <c:v>7614.63</c:v>
                </c:pt>
                <c:pt idx="12">
                  <c:v>8030.7180000000008</c:v>
                </c:pt>
                <c:pt idx="13">
                  <c:v>8094.4027586206894</c:v>
                </c:pt>
                <c:pt idx="14">
                  <c:v>21111.65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C-0006-49BD-A0B6-293E22CA57A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5"/>
        <c:gapDepth val="100"/>
        <c:shape val="box"/>
        <c:axId val="462153304"/>
        <c:axId val="462159184"/>
        <c:axId val="0"/>
        <c:extLst xmlns:c16r2="http://schemas.microsoft.com/office/drawing/2015/06/chart"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'Product Revenue Analysis'!$D$2</c15:sqref>
                        </c15:formulaRef>
                      </c:ext>
                    </c:extLst>
                    <c:strCache>
                      <c:ptCount val="1"/>
                      <c:pt idx="0">
                        <c:v>Net Sale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  <a:sp3d/>
                </c:spPr>
                <c:invertIfNegative val="0"/>
                <c:dPt>
                  <c:idx val="0"/>
                  <c:invertIfNegative val="0"/>
                  <c:bubble3D val="0"/>
                  <c:spPr>
                    <a:solidFill>
                      <a:schemeClr val="accent5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  <c:extLst xmlns:c16r2="http://schemas.microsoft.com/office/drawing/2015/06/chart">
                    <c:ext xmlns:c16="http://schemas.microsoft.com/office/drawing/2014/chart" uri="{C3380CC4-5D6E-409C-BE32-E72D297353CC}">
                      <c16:uniqueId val="{0000001E-0006-49BD-A0B6-293E22CA57A9}"/>
                    </c:ext>
                  </c:extLst>
                </c:dPt>
                <c:dPt>
                  <c:idx val="1"/>
                  <c:invertIfNegative val="0"/>
                  <c:bubble3D val="0"/>
                  <c:spPr>
                    <a:solidFill>
                      <a:schemeClr val="accent5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  <c:extLst xmlns:c16r2="http://schemas.microsoft.com/office/drawing/2015/06/chart">
                    <c:ext xmlns:c16="http://schemas.microsoft.com/office/drawing/2014/chart" uri="{C3380CC4-5D6E-409C-BE32-E72D297353CC}">
                      <c16:uniqueId val="{00000020-0006-49BD-A0B6-293E22CA57A9}"/>
                    </c:ext>
                  </c:extLst>
                </c:dPt>
                <c:dPt>
                  <c:idx val="2"/>
                  <c:invertIfNegative val="0"/>
                  <c:bubble3D val="0"/>
                  <c:spPr>
                    <a:solidFill>
                      <a:schemeClr val="accent6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  <c:extLst xmlns:c16r2="http://schemas.microsoft.com/office/drawing/2015/06/chart">
                    <c:ext xmlns:c16="http://schemas.microsoft.com/office/drawing/2014/chart" uri="{C3380CC4-5D6E-409C-BE32-E72D297353CC}">
                      <c16:uniqueId val="{00000022-0006-49BD-A0B6-293E22CA57A9}"/>
                    </c:ext>
                  </c:extLst>
                </c:dPt>
                <c:dPt>
                  <c:idx val="3"/>
                  <c:invertIfNegative val="0"/>
                  <c:bubble3D val="0"/>
                  <c:spPr>
                    <a:solidFill>
                      <a:schemeClr val="accent6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  <c:extLst xmlns:c16r2="http://schemas.microsoft.com/office/drawing/2015/06/chart">
                    <c:ext xmlns:c16="http://schemas.microsoft.com/office/drawing/2014/chart" uri="{C3380CC4-5D6E-409C-BE32-E72D297353CC}">
                      <c16:uniqueId val="{00000024-0006-49BD-A0B6-293E22CA57A9}"/>
                    </c:ext>
                  </c:extLst>
                </c:dPt>
                <c:dPt>
                  <c:idx val="4"/>
                  <c:invertIfNegative val="0"/>
                  <c:bubble3D val="0"/>
                  <c:spPr>
                    <a:solidFill>
                      <a:schemeClr val="accent6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  <c:extLst xmlns:c16r2="http://schemas.microsoft.com/office/drawing/2015/06/chart">
                    <c:ext xmlns:c16="http://schemas.microsoft.com/office/drawing/2014/chart" uri="{C3380CC4-5D6E-409C-BE32-E72D297353CC}">
                      <c16:uniqueId val="{00000026-0006-49BD-A0B6-293E22CA57A9}"/>
                    </c:ext>
                  </c:extLst>
                </c:dPt>
                <c:dPt>
                  <c:idx val="5"/>
                  <c:invertIfNegative val="0"/>
                  <c:bubble3D val="0"/>
                  <c:spPr>
                    <a:solidFill>
                      <a:schemeClr val="accent6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  <c:extLst xmlns:c16r2="http://schemas.microsoft.com/office/drawing/2015/06/chart">
                    <c:ext xmlns:c16="http://schemas.microsoft.com/office/drawing/2014/chart" uri="{C3380CC4-5D6E-409C-BE32-E72D297353CC}">
                      <c16:uniqueId val="{00000028-0006-49BD-A0B6-293E22CA57A9}"/>
                    </c:ext>
                  </c:extLst>
                </c:dPt>
                <c:dPt>
                  <c:idx val="6"/>
                  <c:invertIfNegative val="0"/>
                  <c:bubble3D val="0"/>
                  <c:spPr>
                    <a:solidFill>
                      <a:schemeClr val="accent6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  <c:extLst xmlns:c16r2="http://schemas.microsoft.com/office/drawing/2015/06/chart">
                    <c:ext xmlns:c16="http://schemas.microsoft.com/office/drawing/2014/chart" uri="{C3380CC4-5D6E-409C-BE32-E72D297353CC}">
                      <c16:uniqueId val="{0000002A-0006-49BD-A0B6-293E22CA57A9}"/>
                    </c:ext>
                  </c:extLst>
                </c:dPt>
                <c:dPt>
                  <c:idx val="7"/>
                  <c:invertIfNegative val="0"/>
                  <c:bubble3D val="0"/>
                  <c:spPr>
                    <a:solidFill>
                      <a:schemeClr val="accent4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  <c:extLst xmlns:c16r2="http://schemas.microsoft.com/office/drawing/2015/06/chart">
                    <c:ext xmlns:c16="http://schemas.microsoft.com/office/drawing/2014/chart" uri="{C3380CC4-5D6E-409C-BE32-E72D297353CC}">
                      <c16:uniqueId val="{0000002C-0006-49BD-A0B6-293E22CA57A9}"/>
                    </c:ext>
                  </c:extLst>
                </c:dPt>
                <c:dPt>
                  <c:idx val="8"/>
                  <c:invertIfNegative val="0"/>
                  <c:bubble3D val="0"/>
                  <c:spPr>
                    <a:solidFill>
                      <a:schemeClr val="accent4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  <c:extLst xmlns:c16r2="http://schemas.microsoft.com/office/drawing/2015/06/chart">
                    <c:ext xmlns:c16="http://schemas.microsoft.com/office/drawing/2014/chart" uri="{C3380CC4-5D6E-409C-BE32-E72D297353CC}">
                      <c16:uniqueId val="{0000002E-0006-49BD-A0B6-293E22CA57A9}"/>
                    </c:ext>
                  </c:extLst>
                </c:dPt>
                <c:dPt>
                  <c:idx val="9"/>
                  <c:invertIfNegative val="0"/>
                  <c:bubble3D val="0"/>
                  <c:spPr>
                    <a:solidFill>
                      <a:schemeClr val="accent4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  <c:extLst xmlns:c16r2="http://schemas.microsoft.com/office/drawing/2015/06/chart">
                    <c:ext xmlns:c16="http://schemas.microsoft.com/office/drawing/2014/chart" uri="{C3380CC4-5D6E-409C-BE32-E72D297353CC}">
                      <c16:uniqueId val="{00000030-0006-49BD-A0B6-293E22CA57A9}"/>
                    </c:ext>
                  </c:extLst>
                </c:dPt>
                <c:dPt>
                  <c:idx val="10"/>
                  <c:invertIfNegative val="0"/>
                  <c:bubble3D val="0"/>
                  <c:spPr>
                    <a:solidFill>
                      <a:schemeClr val="accent4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  <c:extLst xmlns:c16r2="http://schemas.microsoft.com/office/drawing/2015/06/chart">
                    <c:ext xmlns:c16="http://schemas.microsoft.com/office/drawing/2014/chart" uri="{C3380CC4-5D6E-409C-BE32-E72D297353CC}">
                      <c16:uniqueId val="{00000032-0006-49BD-A0B6-293E22CA57A9}"/>
                    </c:ext>
                  </c:extLst>
                </c:dPt>
                <c:dPt>
                  <c:idx val="11"/>
                  <c:invertIfNegative val="0"/>
                  <c:bubble3D val="0"/>
                  <c:spPr>
                    <a:solidFill>
                      <a:schemeClr val="accent4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  <c:extLst xmlns:c16r2="http://schemas.microsoft.com/office/drawing/2015/06/chart">
                    <c:ext xmlns:c16="http://schemas.microsoft.com/office/drawing/2014/chart" uri="{C3380CC4-5D6E-409C-BE32-E72D297353CC}">
                      <c16:uniqueId val="{00000034-0006-49BD-A0B6-293E22CA57A9}"/>
                    </c:ext>
                  </c:extLst>
                </c:dPt>
                <c:dPt>
                  <c:idx val="12"/>
                  <c:invertIfNegative val="0"/>
                  <c:bubble3D val="0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  <c:extLst xmlns:c16r2="http://schemas.microsoft.com/office/drawing/2015/06/chart">
                    <c:ext xmlns:c16="http://schemas.microsoft.com/office/drawing/2014/chart" uri="{C3380CC4-5D6E-409C-BE32-E72D297353CC}">
                      <c16:uniqueId val="{00000036-0006-49BD-A0B6-293E22CA57A9}"/>
                    </c:ext>
                  </c:extLst>
                </c:dPt>
                <c:dPt>
                  <c:idx val="13"/>
                  <c:invertIfNegative val="0"/>
                  <c:bubble3D val="0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  <c:extLst xmlns:c16r2="http://schemas.microsoft.com/office/drawing/2015/06/chart">
                    <c:ext xmlns:c16="http://schemas.microsoft.com/office/drawing/2014/chart" uri="{C3380CC4-5D6E-409C-BE32-E72D297353CC}">
                      <c16:uniqueId val="{00000038-0006-49BD-A0B6-293E22CA57A9}"/>
                    </c:ext>
                  </c:extLst>
                </c:dPt>
                <c:dPt>
                  <c:idx val="14"/>
                  <c:invertIfNegative val="0"/>
                  <c:bubble3D val="0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  <c:extLst xmlns:c16r2="http://schemas.microsoft.com/office/drawing/2015/06/chart">
                    <c:ext xmlns:c16="http://schemas.microsoft.com/office/drawing/2014/chart" uri="{C3380CC4-5D6E-409C-BE32-E72D297353CC}">
                      <c16:uniqueId val="{0000003A-0006-49BD-A0B6-293E22CA57A9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6r2="http://schemas.microsoft.com/office/drawing/2015/06/chart"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'Product Revenue Analysis'!$C$4:$C$18</c15:sqref>
                        </c15:formulaRef>
                      </c:ext>
                    </c:extLst>
                    <c:strCache>
                      <c:ptCount val="15"/>
                      <c:pt idx="0">
                        <c:v>B</c:v>
                      </c:pt>
                      <c:pt idx="1">
                        <c:v>K</c:v>
                      </c:pt>
                      <c:pt idx="2">
                        <c:v>FP</c:v>
                      </c:pt>
                      <c:pt idx="3">
                        <c:v>IR</c:v>
                      </c:pt>
                      <c:pt idx="4">
                        <c:v>LC</c:v>
                      </c:pt>
                      <c:pt idx="5">
                        <c:v>OP</c:v>
                      </c:pt>
                      <c:pt idx="6">
                        <c:v>VP</c:v>
                      </c:pt>
                      <c:pt idx="7">
                        <c:v>SR-206</c:v>
                      </c:pt>
                      <c:pt idx="8">
                        <c:v>SR-306</c:v>
                      </c:pt>
                      <c:pt idx="9">
                        <c:v>SR-406</c:v>
                      </c:pt>
                      <c:pt idx="10">
                        <c:v>SR-VV</c:v>
                      </c:pt>
                      <c:pt idx="11">
                        <c:v>SCR-WO</c:v>
                      </c:pt>
                      <c:pt idx="12">
                        <c:v>D</c:v>
                      </c:pt>
                      <c:pt idx="13">
                        <c:v>W (A)</c:v>
                      </c:pt>
                      <c:pt idx="14">
                        <c:v>W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'Product Revenue Analysis'!$D$4:$D$18</c15:sqref>
                        </c15:formulaRef>
                      </c:ext>
                    </c:extLst>
                    <c:numCache>
                      <c:formatCode>"$"#,##0.00</c:formatCode>
                      <c:ptCount val="15"/>
                      <c:pt idx="0">
                        <c:v>378761.24000000005</c:v>
                      </c:pt>
                      <c:pt idx="1">
                        <c:v>1031874.26</c:v>
                      </c:pt>
                      <c:pt idx="2">
                        <c:v>72349.56</c:v>
                      </c:pt>
                      <c:pt idx="3">
                        <c:v>404821.97</c:v>
                      </c:pt>
                      <c:pt idx="4">
                        <c:v>165171.72999999998</c:v>
                      </c:pt>
                      <c:pt idx="5">
                        <c:v>56306.520000000004</c:v>
                      </c:pt>
                      <c:pt idx="6">
                        <c:v>22962.339999999997</c:v>
                      </c:pt>
                      <c:pt idx="7">
                        <c:v>91786.44</c:v>
                      </c:pt>
                      <c:pt idx="8">
                        <c:v>355321.75000000006</c:v>
                      </c:pt>
                      <c:pt idx="9">
                        <c:v>397237.51</c:v>
                      </c:pt>
                      <c:pt idx="10">
                        <c:v>136559.76999999999</c:v>
                      </c:pt>
                      <c:pt idx="11">
                        <c:v>7614.63</c:v>
                      </c:pt>
                      <c:pt idx="12">
                        <c:v>40153.590000000004</c:v>
                      </c:pt>
                      <c:pt idx="13">
                        <c:v>234737.68</c:v>
                      </c:pt>
                      <c:pt idx="14">
                        <c:v>274451.45</c:v>
                      </c:pt>
                    </c:numCache>
                  </c:numRef>
                </c:val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0-7B2E-42DF-B7AE-C73110D5DC8B}"/>
                  </c:ext>
                </c:extLst>
              </c15:ser>
            </c15:filteredBarSeries>
          </c:ext>
        </c:extLst>
      </c:bar3DChart>
      <c:catAx>
        <c:axId val="462153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159184"/>
        <c:crosses val="autoZero"/>
        <c:auto val="1"/>
        <c:lblAlgn val="ctr"/>
        <c:lblOffset val="100"/>
        <c:noMultiLvlLbl val="0"/>
      </c:catAx>
      <c:valAx>
        <c:axId val="46215918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153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Revenue by Product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0-B4B6-4C15-891A-18060CB4EF12}"/>
              </c:ext>
            </c:extLst>
          </c:dPt>
          <c:dPt>
            <c:idx val="2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1-B4B6-4C15-891A-18060CB4EF12}"/>
              </c:ext>
            </c:extLst>
          </c:dPt>
          <c:dPt>
            <c:idx val="3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2-B4B6-4C15-891A-18060CB4EF12}"/>
              </c:ext>
            </c:extLst>
          </c:dPt>
          <c:dPt>
            <c:idx val="4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3-B4B6-4C15-891A-18060CB4EF1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'Product Revenue Analysis'!$B$23:$B$27</c:f>
              <c:strCache>
                <c:ptCount val="5"/>
                <c:pt idx="0">
                  <c:v>Bath</c:v>
                </c:pt>
                <c:pt idx="1">
                  <c:v>Kitchen</c:v>
                </c:pt>
                <c:pt idx="2">
                  <c:v>Patio Covers</c:v>
                </c:pt>
                <c:pt idx="3">
                  <c:v>Sunroom</c:v>
                </c:pt>
                <c:pt idx="4">
                  <c:v>Windows</c:v>
                </c:pt>
              </c:strCache>
            </c:strRef>
          </c:cat>
          <c:val>
            <c:numRef>
              <c:f>'Product Revenue Analysis'!$C$23:$C$27</c:f>
              <c:numCache>
                <c:formatCode>General</c:formatCode>
                <c:ptCount val="5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B2E-42DF-B7AE-C73110D5DC8B}"/>
            </c:ext>
          </c:extLst>
        </c:ser>
        <c:ser>
          <c:idx val="1"/>
          <c:order val="1"/>
          <c:spPr>
            <a:solidFill>
              <a:srgbClr val="5B9BD5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Pt>
            <c:idx val="0"/>
            <c:invertIfNegative val="0"/>
            <c:bubble3D val="0"/>
            <c:spPr>
              <a:solidFill>
                <a:srgbClr val="5B9BD5">
                  <a:lumMod val="60000"/>
                  <a:lumOff val="40000"/>
                </a:srgb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B4B6-4C15-891A-18060CB4EF12}"/>
              </c:ext>
            </c:extLst>
          </c:dPt>
          <c:dPt>
            <c:idx val="2"/>
            <c:invertIfNegative val="0"/>
            <c:bubble3D val="0"/>
            <c:spPr>
              <a:solidFill>
                <a:srgbClr val="70AD47">
                  <a:lumMod val="60000"/>
                  <a:lumOff val="40000"/>
                </a:srgb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B4B6-4C15-891A-18060CB4EF12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>
                  <a:lumMod val="60000"/>
                  <a:lumOff val="40000"/>
                </a:srgb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B4B6-4C15-891A-18060CB4EF12}"/>
              </c:ext>
            </c:extLst>
          </c:dPt>
          <c:dPt>
            <c:idx val="4"/>
            <c:invertIfNegative val="0"/>
            <c:bubble3D val="0"/>
            <c:spPr>
              <a:solidFill>
                <a:srgbClr val="ED7D31">
                  <a:lumMod val="60000"/>
                  <a:lumOff val="40000"/>
                </a:srgb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B4B6-4C15-891A-18060CB4EF1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'Product Revenue Analysis'!$B$23:$B$27</c:f>
              <c:strCache>
                <c:ptCount val="5"/>
                <c:pt idx="0">
                  <c:v>Bath</c:v>
                </c:pt>
                <c:pt idx="1">
                  <c:v>Kitchen</c:v>
                </c:pt>
                <c:pt idx="2">
                  <c:v>Patio Covers</c:v>
                </c:pt>
                <c:pt idx="3">
                  <c:v>Sunroom</c:v>
                </c:pt>
                <c:pt idx="4">
                  <c:v>Windows</c:v>
                </c:pt>
              </c:strCache>
            </c:strRef>
          </c:cat>
          <c:val>
            <c:numRef>
              <c:f>'Product Revenue Analysis'!$D$23:$D$27</c:f>
              <c:numCache>
                <c:formatCode>"$"#,##0.00</c:formatCode>
                <c:ptCount val="5"/>
                <c:pt idx="0">
                  <c:v>378761.24000000005</c:v>
                </c:pt>
                <c:pt idx="1">
                  <c:v>1031874.26</c:v>
                </c:pt>
                <c:pt idx="2">
                  <c:v>721612.12</c:v>
                </c:pt>
                <c:pt idx="3">
                  <c:v>988520.10000000009</c:v>
                </c:pt>
                <c:pt idx="4">
                  <c:v>549342.71999999997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B4B6-4C15-891A-18060CB4EF1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5"/>
        <c:gapDepth val="100"/>
        <c:shape val="box"/>
        <c:axId val="462155656"/>
        <c:axId val="462156048"/>
        <c:axId val="0"/>
      </c:bar3DChart>
      <c:catAx>
        <c:axId val="462155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156048"/>
        <c:crosses val="autoZero"/>
        <c:auto val="1"/>
        <c:lblAlgn val="ctr"/>
        <c:lblOffset val="100"/>
        <c:noMultiLvlLbl val="0"/>
      </c:catAx>
      <c:valAx>
        <c:axId val="46215604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&quot;$&quot;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155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'Installer Analysis'!$D$2</c:f>
              <c:strCache>
                <c:ptCount val="1"/>
                <c:pt idx="0">
                  <c:v>Average Margin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1-9920-470B-A83A-84CED4DECCF0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3-9920-470B-A83A-84CED4DECCF0}"/>
              </c:ext>
            </c:extLst>
          </c:dPt>
          <c:dPt>
            <c:idx val="2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5-9920-470B-A83A-84CED4DECCF0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9920-470B-A83A-84CED4DECCF0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9920-470B-A83A-84CED4DECCF0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9920-470B-A83A-84CED4DECCF0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9920-470B-A83A-84CED4DECCF0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9920-470B-A83A-84CED4DECCF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'Installer Analysis'!$C$4:$C$11</c:f>
              <c:strCache>
                <c:ptCount val="8"/>
                <c:pt idx="0">
                  <c:v>Brad H. </c:v>
                </c:pt>
                <c:pt idx="1">
                  <c:v>Chris M.</c:v>
                </c:pt>
                <c:pt idx="2">
                  <c:v>MLM</c:v>
                </c:pt>
                <c:pt idx="3">
                  <c:v>Nic R.</c:v>
                </c:pt>
                <c:pt idx="4">
                  <c:v>Romo</c:v>
                </c:pt>
                <c:pt idx="5">
                  <c:v>Don</c:v>
                </c:pt>
                <c:pt idx="6">
                  <c:v>HIR</c:v>
                </c:pt>
                <c:pt idx="7">
                  <c:v>Manuel</c:v>
                </c:pt>
              </c:strCache>
            </c:strRef>
          </c:cat>
          <c:val>
            <c:numRef>
              <c:f>'Installer Analysis'!$D$4:$D$11</c:f>
              <c:numCache>
                <c:formatCode>0.00%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0.55834881568490802</c:v>
                </c:pt>
                <c:pt idx="3">
                  <c:v>0</c:v>
                </c:pt>
                <c:pt idx="4">
                  <c:v>0.55593806625510267</c:v>
                </c:pt>
                <c:pt idx="5">
                  <c:v>0.39147536347261369</c:v>
                </c:pt>
                <c:pt idx="6">
                  <c:v>0.46366125911195666</c:v>
                </c:pt>
                <c:pt idx="7">
                  <c:v>0.48796017501659739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B2E-42DF-B7AE-C73110D5DC8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5"/>
        <c:gapDepth val="100"/>
        <c:shape val="box"/>
        <c:axId val="462156832"/>
        <c:axId val="462157224"/>
        <c:axId val="0"/>
      </c:bar3DChart>
      <c:catAx>
        <c:axId val="462156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157224"/>
        <c:crosses val="autoZero"/>
        <c:auto val="1"/>
        <c:lblAlgn val="ctr"/>
        <c:lblOffset val="100"/>
        <c:noMultiLvlLbl val="0"/>
      </c:catAx>
      <c:valAx>
        <c:axId val="462157224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156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#</a:t>
            </a:r>
            <a:r>
              <a:rPr lang="en-US" baseline="0"/>
              <a:t> of Jobs Installed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1-FAF1-4491-BDF3-DA16192F7A26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3-FAF1-4491-BDF3-DA16192F7A26}"/>
              </c:ext>
            </c:extLst>
          </c:dPt>
          <c:dPt>
            <c:idx val="2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5-FAF1-4491-BDF3-DA16192F7A26}"/>
              </c:ext>
            </c:extLst>
          </c:dPt>
          <c:dPt>
            <c:idx val="3"/>
            <c:invertIfNegative val="0"/>
            <c:bubble3D val="0"/>
            <c:spPr>
              <a:solidFill>
                <a:srgbClr val="70AD47">
                  <a:lumMod val="60000"/>
                  <a:lumOff val="40000"/>
                </a:srgb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FAF1-4491-BDF3-DA16192F7A26}"/>
              </c:ext>
            </c:extLst>
          </c:dPt>
          <c:dPt>
            <c:idx val="4"/>
            <c:invertIfNegative val="0"/>
            <c:bubble3D val="0"/>
            <c:spPr>
              <a:solidFill>
                <a:srgbClr val="70AD47">
                  <a:lumMod val="60000"/>
                  <a:lumOff val="40000"/>
                </a:srgb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FAF1-4491-BDF3-DA16192F7A26}"/>
              </c:ext>
            </c:extLst>
          </c:dPt>
          <c:dPt>
            <c:idx val="5"/>
            <c:invertIfNegative val="0"/>
            <c:bubble3D val="0"/>
            <c:spPr>
              <a:solidFill>
                <a:srgbClr val="ED7D31">
                  <a:lumMod val="60000"/>
                  <a:lumOff val="40000"/>
                </a:srgb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FAF1-4491-BDF3-DA16192F7A26}"/>
              </c:ext>
            </c:extLst>
          </c:dPt>
          <c:dPt>
            <c:idx val="6"/>
            <c:invertIfNegative val="0"/>
            <c:bubble3D val="0"/>
            <c:spPr>
              <a:solidFill>
                <a:srgbClr val="ED7D31">
                  <a:lumMod val="60000"/>
                  <a:lumOff val="40000"/>
                </a:srgb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FAF1-4491-BDF3-DA16192F7A26}"/>
              </c:ext>
            </c:extLst>
          </c:dPt>
          <c:dPt>
            <c:idx val="7"/>
            <c:invertIfNegative val="0"/>
            <c:bubble3D val="0"/>
            <c:spPr>
              <a:solidFill>
                <a:srgbClr val="ED7D31">
                  <a:lumMod val="60000"/>
                  <a:lumOff val="40000"/>
                </a:srgb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FAF1-4491-BDF3-DA16192F7A2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'Installer Analysis'!$C$4:$C$11</c:f>
              <c:strCache>
                <c:ptCount val="8"/>
                <c:pt idx="0">
                  <c:v>Brad H. </c:v>
                </c:pt>
                <c:pt idx="1">
                  <c:v>Chris M.</c:v>
                </c:pt>
                <c:pt idx="2">
                  <c:v>MLM</c:v>
                </c:pt>
                <c:pt idx="3">
                  <c:v>Nic R.</c:v>
                </c:pt>
                <c:pt idx="4">
                  <c:v>Romo</c:v>
                </c:pt>
                <c:pt idx="5">
                  <c:v>Don</c:v>
                </c:pt>
                <c:pt idx="6">
                  <c:v>HIR</c:v>
                </c:pt>
                <c:pt idx="7">
                  <c:v>Manuel</c:v>
                </c:pt>
              </c:strCache>
            </c:strRef>
          </c:cat>
          <c:val>
            <c:numRef>
              <c:f>'Installer Analysis'!$E$4:$E$11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8</c:v>
                </c:pt>
                <c:pt idx="3">
                  <c:v>0</c:v>
                </c:pt>
                <c:pt idx="4">
                  <c:v>93</c:v>
                </c:pt>
                <c:pt idx="5">
                  <c:v>2</c:v>
                </c:pt>
                <c:pt idx="6">
                  <c:v>37</c:v>
                </c:pt>
                <c:pt idx="7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B2E-42DF-B7AE-C73110D5DC8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5"/>
        <c:gapDepth val="100"/>
        <c:shape val="box"/>
        <c:axId val="462157616"/>
        <c:axId val="462158400"/>
        <c:axId val="0"/>
      </c:bar3DChart>
      <c:catAx>
        <c:axId val="462157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158400"/>
        <c:crosses val="autoZero"/>
        <c:auto val="1"/>
        <c:lblAlgn val="ctr"/>
        <c:lblOffset val="100"/>
        <c:noMultiLvlLbl val="0"/>
      </c:catAx>
      <c:valAx>
        <c:axId val="46215840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157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'Designer Analysis'!$C$2</c:f>
              <c:strCache>
                <c:ptCount val="1"/>
                <c:pt idx="0">
                  <c:v>Total sales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1-1892-4EA0-A196-831932450E87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3-1892-4EA0-A196-831932450E87}"/>
              </c:ext>
            </c:extLst>
          </c:dPt>
          <c:dPt>
            <c:idx val="2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5-1892-4EA0-A196-831932450E87}"/>
              </c:ext>
            </c:extLst>
          </c:dPt>
          <c:dPt>
            <c:idx val="3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7-1892-4EA0-A196-831932450E87}"/>
              </c:ext>
            </c:extLst>
          </c:dPt>
          <c:dPt>
            <c:idx val="4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9-1892-4EA0-A196-831932450E87}"/>
              </c:ext>
            </c:extLst>
          </c:dPt>
          <c:dPt>
            <c:idx val="5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B-1892-4EA0-A196-831932450E87}"/>
              </c:ext>
            </c:extLst>
          </c:dPt>
          <c:dPt>
            <c:idx val="6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D-1892-4EA0-A196-831932450E8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'Designer Analysis'!$B$4:$B$10</c:f>
              <c:strCache>
                <c:ptCount val="7"/>
                <c:pt idx="0">
                  <c:v>BH</c:v>
                </c:pt>
                <c:pt idx="1">
                  <c:v>BS</c:v>
                </c:pt>
                <c:pt idx="2">
                  <c:v>CD</c:v>
                </c:pt>
                <c:pt idx="3">
                  <c:v>EK</c:v>
                </c:pt>
                <c:pt idx="4">
                  <c:v>EN</c:v>
                </c:pt>
                <c:pt idx="5">
                  <c:v>LJ</c:v>
                </c:pt>
                <c:pt idx="6">
                  <c:v>MW</c:v>
                </c:pt>
              </c:strCache>
            </c:strRef>
          </c:cat>
          <c:val>
            <c:numRef>
              <c:f>'Designer Analysis'!$C$4:$C$10</c:f>
              <c:numCache>
                <c:formatCode>"$"#,##0.00</c:formatCode>
                <c:ptCount val="7"/>
                <c:pt idx="0">
                  <c:v>58126.020000000004</c:v>
                </c:pt>
                <c:pt idx="1">
                  <c:v>1109959.4200000004</c:v>
                </c:pt>
                <c:pt idx="2">
                  <c:v>701801.31</c:v>
                </c:pt>
                <c:pt idx="3">
                  <c:v>65214.44</c:v>
                </c:pt>
                <c:pt idx="4">
                  <c:v>9432</c:v>
                </c:pt>
                <c:pt idx="5">
                  <c:v>1378142.2799999998</c:v>
                </c:pt>
                <c:pt idx="6">
                  <c:v>1024966.5299999999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B2E-42DF-B7AE-C73110D5DC8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5"/>
        <c:gapDepth val="100"/>
        <c:shape val="box"/>
        <c:axId val="462152128"/>
        <c:axId val="462154872"/>
        <c:axId val="0"/>
      </c:bar3DChart>
      <c:catAx>
        <c:axId val="462152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154872"/>
        <c:crosses val="autoZero"/>
        <c:auto val="1"/>
        <c:lblAlgn val="ctr"/>
        <c:lblOffset val="100"/>
        <c:noMultiLvlLbl val="0"/>
      </c:catAx>
      <c:valAx>
        <c:axId val="462154872"/>
        <c:scaling>
          <c:orientation val="minMax"/>
          <c:max val="9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152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 # of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1-B253-4E29-BAAC-33B396B4362C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3-B253-4E29-BAAC-33B396B4362C}"/>
              </c:ext>
            </c:extLst>
          </c:dPt>
          <c:dPt>
            <c:idx val="2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5-B253-4E29-BAAC-33B396B4362C}"/>
              </c:ext>
            </c:extLst>
          </c:dPt>
          <c:dPt>
            <c:idx val="3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7-B253-4E29-BAAC-33B396B4362C}"/>
              </c:ext>
            </c:extLst>
          </c:dPt>
          <c:dPt>
            <c:idx val="4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9-B253-4E29-BAAC-33B396B4362C}"/>
              </c:ext>
            </c:extLst>
          </c:dPt>
          <c:dPt>
            <c:idx val="5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B-B253-4E29-BAAC-33B396B4362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'Designer Analysis'!$B$4:$B$10</c:f>
              <c:strCache>
                <c:ptCount val="7"/>
                <c:pt idx="0">
                  <c:v>BH</c:v>
                </c:pt>
                <c:pt idx="1">
                  <c:v>BS</c:v>
                </c:pt>
                <c:pt idx="2">
                  <c:v>CD</c:v>
                </c:pt>
                <c:pt idx="3">
                  <c:v>EK</c:v>
                </c:pt>
                <c:pt idx="4">
                  <c:v>EN</c:v>
                </c:pt>
                <c:pt idx="5">
                  <c:v>LJ</c:v>
                </c:pt>
                <c:pt idx="6">
                  <c:v>MW</c:v>
                </c:pt>
              </c:strCache>
            </c:strRef>
          </c:cat>
          <c:val>
            <c:numRef>
              <c:f>'Designer Analysis'!$D$4:$D$10</c:f>
              <c:numCache>
                <c:formatCode>0</c:formatCode>
                <c:ptCount val="7"/>
                <c:pt idx="0">
                  <c:v>3</c:v>
                </c:pt>
                <c:pt idx="1">
                  <c:v>72</c:v>
                </c:pt>
                <c:pt idx="2">
                  <c:v>47</c:v>
                </c:pt>
                <c:pt idx="3">
                  <c:v>4</c:v>
                </c:pt>
                <c:pt idx="4">
                  <c:v>1</c:v>
                </c:pt>
                <c:pt idx="5">
                  <c:v>53</c:v>
                </c:pt>
                <c:pt idx="6">
                  <c:v>56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B2E-42DF-B7AE-C73110D5DC8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5"/>
        <c:gapDepth val="100"/>
        <c:shape val="box"/>
        <c:axId val="462154480"/>
        <c:axId val="463050808"/>
        <c:axId val="0"/>
      </c:bar3DChart>
      <c:catAx>
        <c:axId val="462154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050808"/>
        <c:crosses val="autoZero"/>
        <c:auto val="1"/>
        <c:lblAlgn val="ctr"/>
        <c:lblOffset val="100"/>
        <c:noMultiLvlLbl val="0"/>
      </c:catAx>
      <c:valAx>
        <c:axId val="46305080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154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5.xml"/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4" Type="http://schemas.openxmlformats.org/officeDocument/2006/relationships/chart" Target="../charts/chart2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152400</xdr:colOff>
      <xdr:row>1</xdr:row>
      <xdr:rowOff>1</xdr:rowOff>
    </xdr:from>
    <xdr:to>
      <xdr:col>28</xdr:col>
      <xdr:colOff>0</xdr:colOff>
      <xdr:row>36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37</xdr:row>
      <xdr:rowOff>14287</xdr:rowOff>
    </xdr:from>
    <xdr:to>
      <xdr:col>28</xdr:col>
      <xdr:colOff>0</xdr:colOff>
      <xdr:row>73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28574</xdr:colOff>
      <xdr:row>1</xdr:row>
      <xdr:rowOff>0</xdr:rowOff>
    </xdr:from>
    <xdr:to>
      <xdr:col>28</xdr:col>
      <xdr:colOff>0</xdr:colOff>
      <xdr:row>36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28575</xdr:colOff>
      <xdr:row>36</xdr:row>
      <xdr:rowOff>180975</xdr:rowOff>
    </xdr:from>
    <xdr:to>
      <xdr:col>28</xdr:col>
      <xdr:colOff>0</xdr:colOff>
      <xdr:row>73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74</xdr:row>
      <xdr:rowOff>14286</xdr:rowOff>
    </xdr:from>
    <xdr:to>
      <xdr:col>28</xdr:col>
      <xdr:colOff>0</xdr:colOff>
      <xdr:row>109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9524</xdr:colOff>
      <xdr:row>1</xdr:row>
      <xdr:rowOff>9525</xdr:rowOff>
    </xdr:from>
    <xdr:to>
      <xdr:col>28</xdr:col>
      <xdr:colOff>590550</xdr:colOff>
      <xdr:row>31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9524</xdr:colOff>
      <xdr:row>33</xdr:row>
      <xdr:rowOff>14286</xdr:rowOff>
    </xdr:from>
    <xdr:to>
      <xdr:col>28</xdr:col>
      <xdr:colOff>609599</xdr:colOff>
      <xdr:row>63</xdr:row>
      <xdr:rowOff>190499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161924</xdr:colOff>
      <xdr:row>13</xdr:row>
      <xdr:rowOff>9525</xdr:rowOff>
    </xdr:from>
    <xdr:to>
      <xdr:col>23</xdr:col>
      <xdr:colOff>0</xdr:colOff>
      <xdr:row>44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9525</xdr:colOff>
      <xdr:row>44</xdr:row>
      <xdr:rowOff>195261</xdr:rowOff>
    </xdr:from>
    <xdr:to>
      <xdr:col>23</xdr:col>
      <xdr:colOff>9525</xdr:colOff>
      <xdr:row>75</xdr:row>
      <xdr:rowOff>190499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9524</xdr:colOff>
      <xdr:row>77</xdr:row>
      <xdr:rowOff>14287</xdr:rowOff>
    </xdr:from>
    <xdr:to>
      <xdr:col>22</xdr:col>
      <xdr:colOff>609599</xdr:colOff>
      <xdr:row>108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161924</xdr:colOff>
      <xdr:row>109</xdr:row>
      <xdr:rowOff>14287</xdr:rowOff>
    </xdr:from>
    <xdr:to>
      <xdr:col>22</xdr:col>
      <xdr:colOff>600074</xdr:colOff>
      <xdr:row>139</xdr:row>
      <xdr:rowOff>180975</xdr:rowOff>
    </xdr:to>
    <xdr:graphicFrame macro="">
      <xdr:nvGraphicFramePr>
        <xdr:cNvPr id="6" name="Chart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9525</xdr:colOff>
      <xdr:row>141</xdr:row>
      <xdr:rowOff>4762</xdr:rowOff>
    </xdr:from>
    <xdr:to>
      <xdr:col>23</xdr:col>
      <xdr:colOff>9525</xdr:colOff>
      <xdr:row>171</xdr:row>
      <xdr:rowOff>190500</xdr:rowOff>
    </xdr:to>
    <xdr:graphicFrame macro="">
      <xdr:nvGraphicFramePr>
        <xdr:cNvPr id="7" name="Chart 6">
          <a:extLst>
            <a:ext uri="{FF2B5EF4-FFF2-40B4-BE49-F238E27FC236}">
              <a16:creationId xmlns="" xmlns:a16="http://schemas.microsoft.com/office/drawing/2014/main" id="{00000000-0008-0000-04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9525</xdr:colOff>
      <xdr:row>173</xdr:row>
      <xdr:rowOff>14286</xdr:rowOff>
    </xdr:from>
    <xdr:to>
      <xdr:col>22</xdr:col>
      <xdr:colOff>600075</xdr:colOff>
      <xdr:row>203</xdr:row>
      <xdr:rowOff>190499</xdr:rowOff>
    </xdr:to>
    <xdr:graphicFrame macro="">
      <xdr:nvGraphicFramePr>
        <xdr:cNvPr id="8" name="Chart 7">
          <a:extLst>
            <a:ext uri="{FF2B5EF4-FFF2-40B4-BE49-F238E27FC236}">
              <a16:creationId xmlns="" xmlns:a16="http://schemas.microsoft.com/office/drawing/2014/main" id="{00000000-0008-0000-04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14286</xdr:colOff>
      <xdr:row>205</xdr:row>
      <xdr:rowOff>14287</xdr:rowOff>
    </xdr:from>
    <xdr:to>
      <xdr:col>23</xdr:col>
      <xdr:colOff>0</xdr:colOff>
      <xdr:row>236</xdr:row>
      <xdr:rowOff>19050</xdr:rowOff>
    </xdr:to>
    <xdr:graphicFrame macro="">
      <xdr:nvGraphicFramePr>
        <xdr:cNvPr id="9" name="Chart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9524</xdr:colOff>
      <xdr:row>237</xdr:row>
      <xdr:rowOff>14286</xdr:rowOff>
    </xdr:from>
    <xdr:to>
      <xdr:col>22</xdr:col>
      <xdr:colOff>609599</xdr:colOff>
      <xdr:row>267</xdr:row>
      <xdr:rowOff>190499</xdr:rowOff>
    </xdr:to>
    <xdr:graphicFrame macro="">
      <xdr:nvGraphicFramePr>
        <xdr:cNvPr id="10" name="Chart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161924</xdr:colOff>
      <xdr:row>17</xdr:row>
      <xdr:rowOff>9525</xdr:rowOff>
    </xdr:from>
    <xdr:to>
      <xdr:col>23</xdr:col>
      <xdr:colOff>0</xdr:colOff>
      <xdr:row>48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9525</xdr:colOff>
      <xdr:row>48</xdr:row>
      <xdr:rowOff>195261</xdr:rowOff>
    </xdr:from>
    <xdr:to>
      <xdr:col>23</xdr:col>
      <xdr:colOff>9525</xdr:colOff>
      <xdr:row>79</xdr:row>
      <xdr:rowOff>190499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9524</xdr:colOff>
      <xdr:row>81</xdr:row>
      <xdr:rowOff>14287</xdr:rowOff>
    </xdr:from>
    <xdr:to>
      <xdr:col>22</xdr:col>
      <xdr:colOff>609599</xdr:colOff>
      <xdr:row>112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161924</xdr:colOff>
      <xdr:row>113</xdr:row>
      <xdr:rowOff>14287</xdr:rowOff>
    </xdr:from>
    <xdr:to>
      <xdr:col>22</xdr:col>
      <xdr:colOff>600074</xdr:colOff>
      <xdr:row>143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9525</xdr:colOff>
      <xdr:row>145</xdr:row>
      <xdr:rowOff>4761</xdr:rowOff>
    </xdr:from>
    <xdr:to>
      <xdr:col>22</xdr:col>
      <xdr:colOff>600075</xdr:colOff>
      <xdr:row>175</xdr:row>
      <xdr:rowOff>180974</xdr:rowOff>
    </xdr:to>
    <xdr:graphicFrame macro="">
      <xdr:nvGraphicFramePr>
        <xdr:cNvPr id="7" name="Chart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161924</xdr:colOff>
      <xdr:row>18</xdr:row>
      <xdr:rowOff>9525</xdr:rowOff>
    </xdr:from>
    <xdr:to>
      <xdr:col>23</xdr:col>
      <xdr:colOff>0</xdr:colOff>
      <xdr:row>49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9525</xdr:colOff>
      <xdr:row>49</xdr:row>
      <xdr:rowOff>195261</xdr:rowOff>
    </xdr:from>
    <xdr:to>
      <xdr:col>23</xdr:col>
      <xdr:colOff>9525</xdr:colOff>
      <xdr:row>80</xdr:row>
      <xdr:rowOff>190499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9524</xdr:colOff>
      <xdr:row>82</xdr:row>
      <xdr:rowOff>14287</xdr:rowOff>
    </xdr:from>
    <xdr:to>
      <xdr:col>22</xdr:col>
      <xdr:colOff>609599</xdr:colOff>
      <xdr:row>113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161924</xdr:colOff>
      <xdr:row>114</xdr:row>
      <xdr:rowOff>14287</xdr:rowOff>
    </xdr:from>
    <xdr:to>
      <xdr:col>22</xdr:col>
      <xdr:colOff>600074</xdr:colOff>
      <xdr:row>144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00000000-0008-0000-06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filterMode="1"/>
  <dimension ref="A1:V614"/>
  <sheetViews>
    <sheetView showGridLines="0" tabSelected="1" zoomScale="90" zoomScaleNormal="90" workbookViewId="0">
      <pane ySplit="4" topLeftCell="A5" activePane="bottomLeft" state="frozen"/>
      <selection activeCell="C1" sqref="C1"/>
      <selection pane="bottomLeft" activeCell="H243" sqref="H243"/>
    </sheetView>
  </sheetViews>
  <sheetFormatPr defaultRowHeight="15" x14ac:dyDescent="0.25"/>
  <cols>
    <col min="1" max="1" width="2" customWidth="1"/>
    <col min="2" max="2" width="5.85546875" customWidth="1"/>
    <col min="3" max="3" width="12" style="1" customWidth="1"/>
    <col min="4" max="4" width="11.28515625" style="1" customWidth="1"/>
    <col min="5" max="5" width="11.42578125" style="1" bestFit="1" customWidth="1"/>
    <col min="6" max="6" width="17.28515625" style="1" customWidth="1"/>
    <col min="7" max="7" width="17.85546875" style="15" customWidth="1"/>
    <col min="8" max="8" width="12.5703125" style="1" customWidth="1"/>
    <col min="9" max="9" width="15.7109375" style="23" bestFit="1" customWidth="1"/>
    <col min="10" max="10" width="16.85546875" style="23" bestFit="1" customWidth="1"/>
    <col min="11" max="11" width="10.42578125" style="14" customWidth="1"/>
    <col min="12" max="12" width="15" style="23" customWidth="1"/>
    <col min="13" max="13" width="10.42578125" style="14" customWidth="1"/>
    <col min="14" max="14" width="16" style="20" customWidth="1"/>
    <col min="15" max="16" width="15.5703125" style="20" customWidth="1"/>
    <col min="17" max="17" width="116.85546875" style="7" customWidth="1"/>
    <col min="18" max="18" width="12" bestFit="1" customWidth="1"/>
    <col min="21" max="21" width="11.85546875" bestFit="1" customWidth="1"/>
  </cols>
  <sheetData>
    <row r="1" spans="2:21" ht="32.25" customHeight="1" x14ac:dyDescent="0.35">
      <c r="F1" s="117" t="s">
        <v>222</v>
      </c>
      <c r="G1" s="117"/>
      <c r="H1" s="117"/>
      <c r="I1" s="117"/>
      <c r="J1" s="117"/>
      <c r="K1" s="117"/>
      <c r="L1" s="117"/>
      <c r="M1" s="117"/>
    </row>
    <row r="2" spans="2:21" s="2" customFormat="1" ht="9" customHeight="1" thickBot="1" x14ac:dyDescent="0.3">
      <c r="C2" s="3"/>
      <c r="D2" s="3"/>
      <c r="E2" s="3"/>
      <c r="F2" s="3"/>
      <c r="G2" s="27"/>
      <c r="H2" s="3"/>
      <c r="I2" s="21"/>
      <c r="J2" s="21"/>
      <c r="K2" s="16"/>
      <c r="L2" s="21"/>
      <c r="M2" s="16"/>
      <c r="N2" s="22"/>
      <c r="O2" s="22"/>
      <c r="P2" s="22"/>
      <c r="Q2" s="8"/>
    </row>
    <row r="3" spans="2:21" s="2" customFormat="1" ht="22.5" customHeight="1" thickBot="1" x14ac:dyDescent="0.3">
      <c r="C3" s="3"/>
      <c r="D3" s="3"/>
      <c r="E3" s="3"/>
      <c r="F3" s="4"/>
      <c r="G3" s="118" t="s">
        <v>217</v>
      </c>
      <c r="H3" s="119"/>
      <c r="I3" s="50">
        <f>SUM(I4:INDEX(I5:I1048576,MATCH(TRUE,INDEX(ISBLANK(I5:I1048576),0,0),0)-1,0))</f>
        <v>4347641.9999999972</v>
      </c>
      <c r="J3" s="47">
        <f>SUM(J5:INDEX(J5:J1048576,MATCH(TRUE,INDEX(ISBLANK(J5:J1048576),0,0),0)-1,0))</f>
        <v>2074605.9000000008</v>
      </c>
      <c r="K3" s="48">
        <f>(I3-J3)/I3</f>
        <v>0.52282043921739596</v>
      </c>
      <c r="L3" s="47">
        <f>SUM(L5:INDEX(L5:L1048576,MATCH(TRUE,INDEX(ISBLANK(L5:L1048576),0,0),0)-1,0))</f>
        <v>454007.95999999973</v>
      </c>
      <c r="M3" s="48">
        <f>L3/I3</f>
        <v>0.10442625220751847</v>
      </c>
      <c r="N3" s="47">
        <f>SUM(N5:INDEX(N5:N1048576,MATCH(TRUE,INDEX(ISBLANK(N5:N1048576),0,0),0)-1,0))</f>
        <v>140868.61000000004</v>
      </c>
      <c r="O3" s="47">
        <f>SUM(O5:INDEX(O5:O1048576,MATCH(TRUE,INDEX(ISBLANK(O5:O1048576),0,0),0)-1,0))</f>
        <v>11565.829999999998</v>
      </c>
      <c r="P3" s="49">
        <f>SUM(P5:INDEX(P5:P1048576,MATCH(TRUE,INDEX(ISBLANK(P5:P1048576),0,0),0)-1,0))</f>
        <v>36143.659999999996</v>
      </c>
      <c r="Q3" s="8"/>
    </row>
    <row r="4" spans="2:21" s="43" customFormat="1" ht="18" customHeight="1" thickBot="1" x14ac:dyDescent="0.3">
      <c r="B4" s="43" t="s">
        <v>25</v>
      </c>
      <c r="C4" s="43" t="s">
        <v>9</v>
      </c>
      <c r="D4" s="43" t="s">
        <v>22</v>
      </c>
      <c r="E4" s="43" t="s">
        <v>8</v>
      </c>
      <c r="F4" s="43" t="s">
        <v>0</v>
      </c>
      <c r="G4" s="43" t="s">
        <v>7</v>
      </c>
      <c r="H4" s="43" t="s">
        <v>2</v>
      </c>
      <c r="I4" s="44" t="s">
        <v>3</v>
      </c>
      <c r="J4" s="44" t="s">
        <v>1</v>
      </c>
      <c r="K4" s="45" t="s">
        <v>4</v>
      </c>
      <c r="L4" s="44" t="s">
        <v>5</v>
      </c>
      <c r="M4" s="45" t="s">
        <v>6</v>
      </c>
      <c r="N4" s="46" t="s">
        <v>10</v>
      </c>
      <c r="O4" s="46" t="s">
        <v>11</v>
      </c>
      <c r="P4" s="46" t="s">
        <v>53</v>
      </c>
      <c r="Q4" s="46" t="s">
        <v>188</v>
      </c>
    </row>
    <row r="5" spans="2:21" s="2" customFormat="1" ht="15.75" hidden="1" x14ac:dyDescent="0.25">
      <c r="B5" s="36">
        <v>1</v>
      </c>
      <c r="C5" s="36" t="s">
        <v>115</v>
      </c>
      <c r="D5" s="36" t="s">
        <v>26</v>
      </c>
      <c r="E5" s="36" t="s">
        <v>27</v>
      </c>
      <c r="F5" s="37">
        <v>44200</v>
      </c>
      <c r="G5" s="38" t="s">
        <v>28</v>
      </c>
      <c r="H5" s="36" t="s">
        <v>19</v>
      </c>
      <c r="I5" s="39">
        <v>9994.89</v>
      </c>
      <c r="J5" s="39">
        <v>3784.58</v>
      </c>
      <c r="K5" s="40">
        <f t="shared" ref="K5:K23" si="0">(I5-J5)/I5</f>
        <v>0.62134850908814399</v>
      </c>
      <c r="L5" s="39">
        <v>1173.3499999999999</v>
      </c>
      <c r="M5" s="40">
        <f t="shared" ref="M5:M23" si="1">L5/I5</f>
        <v>0.11739498883929687</v>
      </c>
      <c r="N5" s="39">
        <v>641.14</v>
      </c>
      <c r="O5" s="41">
        <v>0</v>
      </c>
      <c r="P5" s="41">
        <v>0</v>
      </c>
      <c r="Q5" s="42"/>
      <c r="R5" s="13"/>
      <c r="S5" s="13"/>
      <c r="T5" s="13"/>
      <c r="U5" s="13"/>
    </row>
    <row r="6" spans="2:21" s="2" customFormat="1" ht="15.75" hidden="1" x14ac:dyDescent="0.25">
      <c r="B6" s="19">
        <f>B5+1</f>
        <v>2</v>
      </c>
      <c r="C6" s="36" t="s">
        <v>115</v>
      </c>
      <c r="D6" s="19" t="s">
        <v>99</v>
      </c>
      <c r="E6" s="19" t="s">
        <v>335</v>
      </c>
      <c r="F6" s="10">
        <v>44208</v>
      </c>
      <c r="G6" s="28" t="s">
        <v>29</v>
      </c>
      <c r="H6" s="19" t="s">
        <v>16</v>
      </c>
      <c r="I6" s="24">
        <v>10446.9</v>
      </c>
      <c r="J6" s="24">
        <v>4373.87</v>
      </c>
      <c r="K6" s="17">
        <f t="shared" si="0"/>
        <v>0.58132364624912658</v>
      </c>
      <c r="L6" s="24">
        <v>1451.99</v>
      </c>
      <c r="M6" s="17">
        <f>L6/I6</f>
        <v>0.13898764226708402</v>
      </c>
      <c r="N6" s="24">
        <v>1105.4000000000001</v>
      </c>
      <c r="O6" s="25">
        <v>0</v>
      </c>
      <c r="P6" s="25">
        <v>0</v>
      </c>
      <c r="Q6" s="11" t="s">
        <v>30</v>
      </c>
      <c r="R6" s="13"/>
      <c r="S6" s="13"/>
      <c r="T6" s="13"/>
      <c r="U6" s="13"/>
    </row>
    <row r="7" spans="2:21" s="2" customFormat="1" ht="15.75" hidden="1" x14ac:dyDescent="0.25">
      <c r="B7" s="31">
        <f t="shared" ref="B7:B70" si="2">B6+1</f>
        <v>3</v>
      </c>
      <c r="C7" s="19" t="s">
        <v>31</v>
      </c>
      <c r="D7" s="19" t="s">
        <v>26</v>
      </c>
      <c r="E7" s="19" t="s">
        <v>27</v>
      </c>
      <c r="F7" s="10">
        <v>44211</v>
      </c>
      <c r="G7" s="28" t="s">
        <v>32</v>
      </c>
      <c r="H7" s="19" t="s">
        <v>33</v>
      </c>
      <c r="I7" s="24">
        <v>6406.26</v>
      </c>
      <c r="J7" s="24">
        <v>2617.6</v>
      </c>
      <c r="K7" s="17">
        <f t="shared" si="0"/>
        <v>0.59139966220540541</v>
      </c>
      <c r="L7" s="24">
        <v>691.53</v>
      </c>
      <c r="M7" s="17">
        <f t="shared" si="1"/>
        <v>0.10794597784042483</v>
      </c>
      <c r="N7" s="24">
        <v>232.26</v>
      </c>
      <c r="O7" s="25">
        <v>0</v>
      </c>
      <c r="P7" s="25">
        <v>0</v>
      </c>
      <c r="Q7" s="11"/>
      <c r="R7" s="13"/>
      <c r="S7" s="13"/>
      <c r="T7" s="13"/>
      <c r="U7" s="13"/>
    </row>
    <row r="8" spans="2:21" s="2" customFormat="1" ht="15.75" hidden="1" x14ac:dyDescent="0.25">
      <c r="B8" s="31">
        <f t="shared" si="2"/>
        <v>4</v>
      </c>
      <c r="C8" s="36" t="s">
        <v>115</v>
      </c>
      <c r="D8" s="19" t="s">
        <v>34</v>
      </c>
      <c r="E8" s="19" t="s">
        <v>27</v>
      </c>
      <c r="F8" s="10">
        <v>44210</v>
      </c>
      <c r="G8" s="28" t="s">
        <v>35</v>
      </c>
      <c r="H8" s="19" t="s">
        <v>19</v>
      </c>
      <c r="I8" s="24">
        <v>6798.38</v>
      </c>
      <c r="J8" s="24">
        <v>3329.34</v>
      </c>
      <c r="K8" s="17">
        <f t="shared" si="0"/>
        <v>0.51027450657362483</v>
      </c>
      <c r="L8" s="24">
        <v>702.79</v>
      </c>
      <c r="M8" s="17">
        <f t="shared" si="1"/>
        <v>0.10337609842344793</v>
      </c>
      <c r="N8" s="24">
        <v>162.38</v>
      </c>
      <c r="O8" s="25">
        <v>0</v>
      </c>
      <c r="P8" s="25">
        <v>0</v>
      </c>
      <c r="Q8" s="11"/>
      <c r="R8" s="13"/>
      <c r="S8" s="13"/>
      <c r="T8" s="13"/>
      <c r="U8" s="13"/>
    </row>
    <row r="9" spans="2:21" s="2" customFormat="1" ht="15.75" hidden="1" x14ac:dyDescent="0.25">
      <c r="B9" s="31">
        <f t="shared" si="2"/>
        <v>5</v>
      </c>
      <c r="C9" s="19" t="s">
        <v>31</v>
      </c>
      <c r="D9" s="19" t="s">
        <v>26</v>
      </c>
      <c r="E9" s="19" t="s">
        <v>27</v>
      </c>
      <c r="F9" s="10">
        <v>44238</v>
      </c>
      <c r="G9" s="28" t="s">
        <v>36</v>
      </c>
      <c r="H9" s="19" t="s">
        <v>14</v>
      </c>
      <c r="I9" s="24">
        <v>8250.2900000000009</v>
      </c>
      <c r="J9" s="24">
        <v>3733.2</v>
      </c>
      <c r="K9" s="17">
        <f t="shared" si="0"/>
        <v>0.54750681491196074</v>
      </c>
      <c r="L9" s="24">
        <f>565.15+O9</f>
        <v>765.15</v>
      </c>
      <c r="M9" s="17">
        <f t="shared" si="1"/>
        <v>9.2742194516798784E-2</v>
      </c>
      <c r="N9" s="34">
        <v>-411.93</v>
      </c>
      <c r="O9" s="25">
        <v>200</v>
      </c>
      <c r="P9" s="25">
        <v>0</v>
      </c>
      <c r="Q9" s="11"/>
      <c r="R9" s="13"/>
      <c r="S9" s="13"/>
      <c r="T9" s="13"/>
      <c r="U9" s="13"/>
    </row>
    <row r="10" spans="2:21" s="2" customFormat="1" ht="15.75" hidden="1" x14ac:dyDescent="0.25">
      <c r="B10" s="31">
        <f t="shared" si="2"/>
        <v>6</v>
      </c>
      <c r="C10" s="36" t="s">
        <v>115</v>
      </c>
      <c r="D10" s="19" t="s">
        <v>34</v>
      </c>
      <c r="E10" s="19" t="s">
        <v>335</v>
      </c>
      <c r="F10" s="10">
        <v>44197</v>
      </c>
      <c r="G10" s="28" t="s">
        <v>37</v>
      </c>
      <c r="H10" s="31" t="s">
        <v>333</v>
      </c>
      <c r="I10" s="24">
        <v>17795.939999999999</v>
      </c>
      <c r="J10" s="24">
        <v>9194.66</v>
      </c>
      <c r="K10" s="17">
        <f t="shared" si="0"/>
        <v>0.48332821980743917</v>
      </c>
      <c r="L10" s="24">
        <v>1514.65</v>
      </c>
      <c r="M10" s="17">
        <f t="shared" si="1"/>
        <v>8.511210984078392E-2</v>
      </c>
      <c r="N10" s="34">
        <v>-592.36</v>
      </c>
      <c r="O10" s="25">
        <v>0</v>
      </c>
      <c r="P10" s="25">
        <v>0</v>
      </c>
      <c r="Q10" s="11"/>
      <c r="R10" s="13"/>
      <c r="S10" s="13"/>
      <c r="T10" s="13"/>
      <c r="U10" s="13"/>
    </row>
    <row r="11" spans="2:21" s="2" customFormat="1" ht="15.75" hidden="1" x14ac:dyDescent="0.25">
      <c r="B11" s="31">
        <f t="shared" si="2"/>
        <v>7</v>
      </c>
      <c r="C11" s="19" t="s">
        <v>31</v>
      </c>
      <c r="D11" s="19" t="s">
        <v>26</v>
      </c>
      <c r="E11" s="19" t="s">
        <v>336</v>
      </c>
      <c r="F11" s="10">
        <v>44218</v>
      </c>
      <c r="G11" s="28" t="s">
        <v>39</v>
      </c>
      <c r="H11" s="19" t="s">
        <v>19</v>
      </c>
      <c r="I11" s="24">
        <v>4171.5</v>
      </c>
      <c r="J11" s="24">
        <v>1989.91</v>
      </c>
      <c r="K11" s="17">
        <f t="shared" si="0"/>
        <v>0.52297494905909148</v>
      </c>
      <c r="L11" s="24">
        <v>430.95</v>
      </c>
      <c r="M11" s="17">
        <f t="shared" si="1"/>
        <v>0.10330816253146349</v>
      </c>
      <c r="N11" s="24">
        <v>139.5</v>
      </c>
      <c r="O11" s="25">
        <v>0</v>
      </c>
      <c r="P11" s="25">
        <v>0</v>
      </c>
      <c r="Q11" s="11"/>
      <c r="R11" s="13"/>
      <c r="S11" s="13"/>
      <c r="T11" s="13"/>
      <c r="U11" s="13"/>
    </row>
    <row r="12" spans="2:21" s="2" customFormat="1" ht="15.75" hidden="1" x14ac:dyDescent="0.25">
      <c r="B12" s="31">
        <f t="shared" si="2"/>
        <v>8</v>
      </c>
      <c r="C12" s="26" t="s">
        <v>31</v>
      </c>
      <c r="D12" s="31" t="s">
        <v>99</v>
      </c>
      <c r="E12" s="26" t="s">
        <v>334</v>
      </c>
      <c r="F12" s="10">
        <v>44197</v>
      </c>
      <c r="G12" s="28" t="s">
        <v>41</v>
      </c>
      <c r="H12" s="31" t="s">
        <v>333</v>
      </c>
      <c r="I12" s="24">
        <v>24565.47</v>
      </c>
      <c r="J12" s="24">
        <v>10048.700000000001</v>
      </c>
      <c r="K12" s="17">
        <f t="shared" si="0"/>
        <v>0.59094208252477964</v>
      </c>
      <c r="L12" s="24">
        <v>3266.45</v>
      </c>
      <c r="M12" s="17">
        <f t="shared" si="1"/>
        <v>0.13296916362683064</v>
      </c>
      <c r="N12" s="24">
        <v>2094.77</v>
      </c>
      <c r="O12" s="25">
        <v>0</v>
      </c>
      <c r="P12" s="25">
        <v>0</v>
      </c>
      <c r="Q12" s="11" t="s">
        <v>42</v>
      </c>
      <c r="R12" s="13"/>
      <c r="S12" s="13"/>
      <c r="T12" s="13"/>
      <c r="U12" s="13"/>
    </row>
    <row r="13" spans="2:21" s="2" customFormat="1" ht="15.75" hidden="1" x14ac:dyDescent="0.25">
      <c r="B13" s="31">
        <f t="shared" si="2"/>
        <v>9</v>
      </c>
      <c r="C13" s="26" t="s">
        <v>31</v>
      </c>
      <c r="D13" s="26" t="s">
        <v>43</v>
      </c>
      <c r="E13" s="26" t="s">
        <v>27</v>
      </c>
      <c r="F13" s="10">
        <v>44253</v>
      </c>
      <c r="G13" s="28" t="s">
        <v>44</v>
      </c>
      <c r="H13" s="26" t="s">
        <v>192</v>
      </c>
      <c r="I13" s="24">
        <v>17550.87</v>
      </c>
      <c r="J13" s="24">
        <v>4781.3500000000004</v>
      </c>
      <c r="K13" s="17">
        <f t="shared" si="0"/>
        <v>0.72757190954066664</v>
      </c>
      <c r="L13" s="24">
        <f>2268.09+O13</f>
        <v>2568.09</v>
      </c>
      <c r="M13" s="17">
        <f t="shared" si="1"/>
        <v>0.14632266092791982</v>
      </c>
      <c r="N13" s="24">
        <v>1546.77</v>
      </c>
      <c r="O13" s="25">
        <v>300</v>
      </c>
      <c r="P13" s="25">
        <v>0</v>
      </c>
      <c r="Q13" s="11"/>
      <c r="R13" s="13"/>
      <c r="S13" s="13"/>
      <c r="T13" s="13"/>
      <c r="U13" s="13"/>
    </row>
    <row r="14" spans="2:21" s="2" customFormat="1" ht="15.75" hidden="1" x14ac:dyDescent="0.25">
      <c r="B14" s="31">
        <f t="shared" si="2"/>
        <v>10</v>
      </c>
      <c r="C14" s="26" t="s">
        <v>31</v>
      </c>
      <c r="D14" s="26" t="s">
        <v>34</v>
      </c>
      <c r="E14" s="26" t="s">
        <v>45</v>
      </c>
      <c r="F14" s="10">
        <v>44235</v>
      </c>
      <c r="G14" s="28" t="s">
        <v>46</v>
      </c>
      <c r="H14" s="26" t="s">
        <v>13</v>
      </c>
      <c r="I14" s="24">
        <v>3971.26</v>
      </c>
      <c r="J14" s="24">
        <v>1965.13</v>
      </c>
      <c r="K14" s="17">
        <f t="shared" si="0"/>
        <v>0.50516208961387565</v>
      </c>
      <c r="L14" s="24">
        <f>150.37+O14</f>
        <v>250.37</v>
      </c>
      <c r="M14" s="17">
        <f t="shared" si="1"/>
        <v>6.3045481786636978E-2</v>
      </c>
      <c r="N14" s="34">
        <v>-555.64</v>
      </c>
      <c r="O14" s="25">
        <v>100</v>
      </c>
      <c r="P14" s="25">
        <v>0</v>
      </c>
      <c r="Q14" s="11"/>
      <c r="R14" s="13"/>
      <c r="S14" s="13"/>
      <c r="T14" s="13"/>
      <c r="U14" s="13"/>
    </row>
    <row r="15" spans="2:21" s="2" customFormat="1" ht="15.75" hidden="1" x14ac:dyDescent="0.25">
      <c r="B15" s="31">
        <f t="shared" si="2"/>
        <v>11</v>
      </c>
      <c r="C15" s="36" t="s">
        <v>115</v>
      </c>
      <c r="D15" s="26" t="s">
        <v>34</v>
      </c>
      <c r="E15" s="26" t="s">
        <v>45</v>
      </c>
      <c r="F15" s="10">
        <v>44258</v>
      </c>
      <c r="G15" s="28" t="s">
        <v>47</v>
      </c>
      <c r="H15" s="26" t="s">
        <v>13</v>
      </c>
      <c r="I15" s="24">
        <v>4494.49</v>
      </c>
      <c r="J15" s="24">
        <v>1856.1</v>
      </c>
      <c r="K15" s="17">
        <f t="shared" si="0"/>
        <v>0.58702767166018832</v>
      </c>
      <c r="L15" s="24">
        <v>461.54</v>
      </c>
      <c r="M15" s="17">
        <f t="shared" si="1"/>
        <v>0.1026901828683566</v>
      </c>
      <c r="N15" s="24">
        <v>91.49</v>
      </c>
      <c r="O15" s="25">
        <v>0</v>
      </c>
      <c r="P15" s="25">
        <v>0</v>
      </c>
      <c r="Q15" s="11"/>
      <c r="R15" s="13"/>
      <c r="S15" s="13"/>
      <c r="T15" s="13"/>
      <c r="U15" s="13"/>
    </row>
    <row r="16" spans="2:21" s="2" customFormat="1" ht="15.75" hidden="1" x14ac:dyDescent="0.25">
      <c r="B16" s="31">
        <f t="shared" si="2"/>
        <v>12</v>
      </c>
      <c r="C16" s="26" t="s">
        <v>31</v>
      </c>
      <c r="D16" s="26" t="s">
        <v>43</v>
      </c>
      <c r="E16" s="26" t="s">
        <v>335</v>
      </c>
      <c r="F16" s="10">
        <v>44252</v>
      </c>
      <c r="G16" s="28" t="s">
        <v>48</v>
      </c>
      <c r="H16" s="26" t="s">
        <v>16</v>
      </c>
      <c r="I16" s="24">
        <v>9269.99</v>
      </c>
      <c r="J16" s="24">
        <v>4228.62</v>
      </c>
      <c r="K16" s="17">
        <f t="shared" si="0"/>
        <v>0.5438376956177946</v>
      </c>
      <c r="L16" s="24">
        <v>1197.99</v>
      </c>
      <c r="M16" s="17">
        <f t="shared" si="1"/>
        <v>0.12923314911882322</v>
      </c>
      <c r="N16" s="24">
        <v>747.49</v>
      </c>
      <c r="O16" s="25">
        <v>0</v>
      </c>
      <c r="P16" s="25">
        <v>0</v>
      </c>
      <c r="Q16" s="11"/>
      <c r="R16" s="13"/>
      <c r="S16" s="13"/>
      <c r="T16" s="13"/>
      <c r="U16" s="13"/>
    </row>
    <row r="17" spans="1:21" s="2" customFormat="1" ht="15.75" hidden="1" x14ac:dyDescent="0.25">
      <c r="B17" s="31">
        <f t="shared" si="2"/>
        <v>13</v>
      </c>
      <c r="C17" s="26" t="s">
        <v>31</v>
      </c>
      <c r="D17" s="26" t="s">
        <v>26</v>
      </c>
      <c r="E17" s="26" t="s">
        <v>27</v>
      </c>
      <c r="F17" s="10">
        <v>44256</v>
      </c>
      <c r="G17" s="28" t="s">
        <v>49</v>
      </c>
      <c r="H17" s="26" t="s">
        <v>24</v>
      </c>
      <c r="I17" s="24">
        <v>8342.99</v>
      </c>
      <c r="J17" s="24">
        <v>3898.76</v>
      </c>
      <c r="K17" s="17">
        <f t="shared" si="0"/>
        <v>0.53269031845896975</v>
      </c>
      <c r="L17" s="24">
        <v>905.57</v>
      </c>
      <c r="M17" s="17">
        <f t="shared" si="1"/>
        <v>0.10854262081100421</v>
      </c>
      <c r="N17" s="24">
        <v>619.19000000000005</v>
      </c>
      <c r="O17" s="25">
        <v>0</v>
      </c>
      <c r="P17" s="25">
        <v>0</v>
      </c>
      <c r="Q17" s="11"/>
      <c r="R17" s="13"/>
      <c r="S17" s="13"/>
      <c r="T17" s="13"/>
      <c r="U17" s="13"/>
    </row>
    <row r="18" spans="1:21" s="2" customFormat="1" ht="15.75" hidden="1" x14ac:dyDescent="0.25">
      <c r="B18" s="31">
        <f t="shared" si="2"/>
        <v>14</v>
      </c>
      <c r="C18" s="29" t="s">
        <v>50</v>
      </c>
      <c r="D18" s="29" t="s">
        <v>26</v>
      </c>
      <c r="E18" s="29" t="s">
        <v>27</v>
      </c>
      <c r="F18" s="10">
        <v>44286</v>
      </c>
      <c r="G18" s="28" t="s">
        <v>51</v>
      </c>
      <c r="H18" s="29" t="s">
        <v>193</v>
      </c>
      <c r="I18" s="24">
        <v>16018.8</v>
      </c>
      <c r="J18" s="24">
        <v>7862.09</v>
      </c>
      <c r="K18" s="17">
        <f t="shared" si="0"/>
        <v>0.50919606961819863</v>
      </c>
      <c r="L18" s="24">
        <v>1687.63</v>
      </c>
      <c r="M18" s="17">
        <f t="shared" si="1"/>
        <v>0.10535308512497817</v>
      </c>
      <c r="N18" s="24">
        <v>333.9</v>
      </c>
      <c r="O18" s="25">
        <v>0</v>
      </c>
      <c r="P18" s="25">
        <v>511.2</v>
      </c>
      <c r="Q18" s="11" t="s">
        <v>52</v>
      </c>
      <c r="R18" s="13"/>
      <c r="S18" s="13"/>
      <c r="T18" s="13"/>
      <c r="U18" s="13"/>
    </row>
    <row r="19" spans="1:21" s="2" customFormat="1" ht="15.75" hidden="1" x14ac:dyDescent="0.25">
      <c r="B19" s="31">
        <f t="shared" si="2"/>
        <v>15</v>
      </c>
      <c r="C19" s="29" t="s">
        <v>31</v>
      </c>
      <c r="D19" s="29" t="s">
        <v>26</v>
      </c>
      <c r="E19" s="29" t="s">
        <v>27</v>
      </c>
      <c r="F19" s="10">
        <v>44271</v>
      </c>
      <c r="G19" s="28" t="s">
        <v>54</v>
      </c>
      <c r="H19" s="29" t="s">
        <v>19</v>
      </c>
      <c r="I19" s="24">
        <v>5821.55</v>
      </c>
      <c r="J19" s="24">
        <v>1854.61</v>
      </c>
      <c r="K19" s="17">
        <f t="shared" si="0"/>
        <v>0.68142333227405083</v>
      </c>
      <c r="L19" s="24">
        <v>859.5</v>
      </c>
      <c r="M19" s="17">
        <f t="shared" si="1"/>
        <v>0.14764109214899812</v>
      </c>
      <c r="N19" s="24">
        <v>798.35</v>
      </c>
      <c r="O19" s="25">
        <v>0</v>
      </c>
      <c r="P19" s="25">
        <v>0</v>
      </c>
      <c r="Q19" s="11"/>
      <c r="R19" s="13"/>
      <c r="S19" s="13"/>
      <c r="T19" s="13"/>
      <c r="U19" s="13"/>
    </row>
    <row r="20" spans="1:21" s="2" customFormat="1" ht="15.75" hidden="1" x14ac:dyDescent="0.25">
      <c r="B20" s="31">
        <f t="shared" si="2"/>
        <v>16</v>
      </c>
      <c r="C20" s="36" t="s">
        <v>115</v>
      </c>
      <c r="D20" s="29" t="s">
        <v>34</v>
      </c>
      <c r="E20" s="29" t="s">
        <v>27</v>
      </c>
      <c r="F20" s="10">
        <v>44225</v>
      </c>
      <c r="G20" s="28" t="s">
        <v>55</v>
      </c>
      <c r="H20" s="29" t="s">
        <v>14</v>
      </c>
      <c r="I20" s="24">
        <v>13832.62</v>
      </c>
      <c r="J20" s="24">
        <v>5811.82</v>
      </c>
      <c r="K20" s="17">
        <f t="shared" si="0"/>
        <v>0.57984676800201262</v>
      </c>
      <c r="L20" s="24">
        <f>860.61+O20</f>
        <v>1060.6100000000001</v>
      </c>
      <c r="M20" s="17">
        <f t="shared" si="1"/>
        <v>7.6674556230128504E-2</v>
      </c>
      <c r="N20" s="34">
        <v>-1049.3800000000001</v>
      </c>
      <c r="O20" s="25">
        <v>200</v>
      </c>
      <c r="P20" s="25">
        <v>0</v>
      </c>
      <c r="Q20" s="11"/>
      <c r="R20" s="13"/>
      <c r="S20" s="13"/>
      <c r="T20" s="13"/>
      <c r="U20" s="13"/>
    </row>
    <row r="21" spans="1:21" s="2" customFormat="1" ht="15.75" hidden="1" x14ac:dyDescent="0.25">
      <c r="B21" s="31">
        <f t="shared" si="2"/>
        <v>17</v>
      </c>
      <c r="C21" s="29" t="s">
        <v>31</v>
      </c>
      <c r="D21" s="29" t="s">
        <v>26</v>
      </c>
      <c r="E21" s="29" t="s">
        <v>27</v>
      </c>
      <c r="F21" s="10">
        <v>44279</v>
      </c>
      <c r="G21" s="28" t="s">
        <v>56</v>
      </c>
      <c r="H21" s="29" t="s">
        <v>24</v>
      </c>
      <c r="I21" s="24">
        <v>3893.4</v>
      </c>
      <c r="J21" s="24">
        <v>1533.96</v>
      </c>
      <c r="K21" s="17">
        <f t="shared" si="0"/>
        <v>0.6060101710587148</v>
      </c>
      <c r="L21" s="24">
        <v>479.64</v>
      </c>
      <c r="M21" s="17">
        <f t="shared" si="1"/>
        <v>0.12319309600862999</v>
      </c>
      <c r="N21" s="24">
        <v>336</v>
      </c>
      <c r="O21" s="25">
        <v>0</v>
      </c>
      <c r="P21" s="25">
        <v>0</v>
      </c>
      <c r="Q21" s="11"/>
      <c r="R21" s="13"/>
      <c r="S21" s="13"/>
      <c r="T21" s="13"/>
      <c r="U21" s="13"/>
    </row>
    <row r="22" spans="1:21" s="2" customFormat="1" ht="15.75" hidden="1" x14ac:dyDescent="0.25">
      <c r="B22" s="31">
        <f t="shared" si="2"/>
        <v>18</v>
      </c>
      <c r="C22" s="29" t="s">
        <v>31</v>
      </c>
      <c r="D22" s="29" t="s">
        <v>26</v>
      </c>
      <c r="E22" s="29" t="s">
        <v>27</v>
      </c>
      <c r="F22" s="10">
        <v>44247</v>
      </c>
      <c r="G22" s="28" t="s">
        <v>57</v>
      </c>
      <c r="H22" s="29" t="s">
        <v>192</v>
      </c>
      <c r="I22" s="24">
        <v>16871.38</v>
      </c>
      <c r="J22" s="24">
        <v>6283.1</v>
      </c>
      <c r="K22" s="17">
        <f t="shared" si="0"/>
        <v>0.6275882589331756</v>
      </c>
      <c r="L22" s="24">
        <v>2255.56</v>
      </c>
      <c r="M22" s="17">
        <f t="shared" si="1"/>
        <v>0.13369149411607112</v>
      </c>
      <c r="N22" s="24">
        <v>2404.13</v>
      </c>
      <c r="O22" s="25">
        <v>0</v>
      </c>
      <c r="P22" s="25">
        <v>0</v>
      </c>
      <c r="Q22" s="11"/>
      <c r="R22" s="13"/>
      <c r="S22" s="13"/>
      <c r="T22" s="13"/>
      <c r="U22" s="13"/>
    </row>
    <row r="23" spans="1:21" s="2" customFormat="1" ht="15.75" hidden="1" x14ac:dyDescent="0.25">
      <c r="B23" s="31">
        <f t="shared" si="2"/>
        <v>19</v>
      </c>
      <c r="C23" s="29" t="s">
        <v>31</v>
      </c>
      <c r="D23" s="29" t="s">
        <v>34</v>
      </c>
      <c r="E23" s="29" t="s">
        <v>45</v>
      </c>
      <c r="F23" s="10">
        <v>44245</v>
      </c>
      <c r="G23" s="28" t="s">
        <v>58</v>
      </c>
      <c r="H23" s="29" t="s">
        <v>13</v>
      </c>
      <c r="I23" s="24">
        <v>4472.7700000000004</v>
      </c>
      <c r="J23" s="24">
        <f>1909.03+342</f>
        <v>2251.0299999999997</v>
      </c>
      <c r="K23" s="17">
        <f t="shared" si="0"/>
        <v>0.4967257426605885</v>
      </c>
      <c r="L23" s="24">
        <v>422.68</v>
      </c>
      <c r="M23" s="17">
        <f t="shared" si="1"/>
        <v>9.4500723265448477E-2</v>
      </c>
      <c r="N23" s="34">
        <v>-0.23</v>
      </c>
      <c r="O23" s="25">
        <v>0</v>
      </c>
      <c r="P23" s="25">
        <v>0</v>
      </c>
      <c r="Q23" s="11"/>
      <c r="R23" s="13"/>
      <c r="S23" s="13"/>
      <c r="T23" s="13"/>
      <c r="U23" s="13"/>
    </row>
    <row r="24" spans="1:21" s="2" customFormat="1" ht="15.75" hidden="1" x14ac:dyDescent="0.25">
      <c r="B24" s="31">
        <f t="shared" si="2"/>
        <v>20</v>
      </c>
      <c r="C24" s="18" t="s">
        <v>31</v>
      </c>
      <c r="D24" s="18" t="s">
        <v>34</v>
      </c>
      <c r="E24" s="18" t="s">
        <v>27</v>
      </c>
      <c r="F24" s="10">
        <v>44274</v>
      </c>
      <c r="G24" s="28" t="s">
        <v>59</v>
      </c>
      <c r="H24" s="18" t="s">
        <v>14</v>
      </c>
      <c r="I24" s="24">
        <v>8407.8799999999992</v>
      </c>
      <c r="J24" s="24">
        <v>3834.47</v>
      </c>
      <c r="K24" s="17">
        <f>(I24-J24)/I24</f>
        <v>0.54394330080828945</v>
      </c>
      <c r="L24" s="24">
        <v>650</v>
      </c>
      <c r="M24" s="17">
        <f>L24/I24</f>
        <v>7.7308429711175713E-2</v>
      </c>
      <c r="N24" s="34">
        <v>-235.93</v>
      </c>
      <c r="O24" s="25">
        <v>0</v>
      </c>
      <c r="P24" s="25">
        <v>272.10000000000002</v>
      </c>
      <c r="Q24" s="12"/>
      <c r="R24" s="13"/>
      <c r="S24" s="13"/>
      <c r="T24" s="13"/>
      <c r="U24" s="13"/>
    </row>
    <row r="25" spans="1:21" s="2" customFormat="1" ht="15.75" hidden="1" x14ac:dyDescent="0.25">
      <c r="B25" s="31">
        <f t="shared" si="2"/>
        <v>21</v>
      </c>
      <c r="C25" s="30" t="s">
        <v>31</v>
      </c>
      <c r="D25" s="30" t="s">
        <v>26</v>
      </c>
      <c r="E25" s="30" t="s">
        <v>45</v>
      </c>
      <c r="F25" s="10">
        <v>44232</v>
      </c>
      <c r="G25" s="28" t="s">
        <v>64</v>
      </c>
      <c r="H25" s="30" t="s">
        <v>13</v>
      </c>
      <c r="I25" s="24">
        <v>22943.22</v>
      </c>
      <c r="J25" s="24">
        <v>11954.99</v>
      </c>
      <c r="K25" s="17">
        <f t="shared" ref="K25:K33" si="3">(I25-J25)/I25</f>
        <v>0.47893146646373091</v>
      </c>
      <c r="L25" s="24">
        <v>1897.22</v>
      </c>
      <c r="M25" s="17">
        <f t="shared" ref="M25:M32" si="4">L25/I25</f>
        <v>8.2691967387315296E-2</v>
      </c>
      <c r="N25" s="24">
        <v>899.59</v>
      </c>
      <c r="O25" s="25">
        <v>300</v>
      </c>
      <c r="P25" s="25">
        <v>562.5</v>
      </c>
      <c r="Q25" s="12"/>
      <c r="R25" s="13"/>
      <c r="S25" s="13"/>
      <c r="T25" s="13"/>
      <c r="U25" s="13"/>
    </row>
    <row r="26" spans="1:21" s="2" customFormat="1" ht="15.75" hidden="1" x14ac:dyDescent="0.25">
      <c r="B26" s="31">
        <f t="shared" si="2"/>
        <v>22</v>
      </c>
      <c r="C26" s="30" t="s">
        <v>127</v>
      </c>
      <c r="D26" s="30" t="s">
        <v>26</v>
      </c>
      <c r="E26" s="30" t="s">
        <v>27</v>
      </c>
      <c r="F26" s="10">
        <v>44288</v>
      </c>
      <c r="G26" s="28" t="s">
        <v>66</v>
      </c>
      <c r="H26" s="30" t="s">
        <v>33</v>
      </c>
      <c r="I26" s="24">
        <v>4968.9399999999996</v>
      </c>
      <c r="J26" s="24">
        <v>2003.85</v>
      </c>
      <c r="K26" s="17">
        <f t="shared" si="3"/>
        <v>0.59672485479800519</v>
      </c>
      <c r="L26" s="24">
        <v>682.85</v>
      </c>
      <c r="M26" s="17">
        <f t="shared" si="4"/>
        <v>0.13742367587453261</v>
      </c>
      <c r="N26" s="24">
        <v>153.63999999999999</v>
      </c>
      <c r="O26" s="25">
        <v>100</v>
      </c>
      <c r="P26" s="25">
        <v>0</v>
      </c>
      <c r="Q26" s="12"/>
      <c r="R26" s="13"/>
      <c r="S26" s="13"/>
      <c r="T26" s="13"/>
      <c r="U26" s="13"/>
    </row>
    <row r="27" spans="1:21" s="2" customFormat="1" ht="15.75" hidden="1" x14ac:dyDescent="0.25">
      <c r="B27" s="31">
        <f t="shared" si="2"/>
        <v>23</v>
      </c>
      <c r="C27" s="30" t="s">
        <v>31</v>
      </c>
      <c r="D27" s="30" t="s">
        <v>26</v>
      </c>
      <c r="E27" s="30" t="s">
        <v>335</v>
      </c>
      <c r="F27" s="10">
        <v>44232</v>
      </c>
      <c r="G27" s="28" t="s">
        <v>60</v>
      </c>
      <c r="H27" s="30" t="s">
        <v>16</v>
      </c>
      <c r="I27" s="24">
        <v>12037.08</v>
      </c>
      <c r="J27" s="24">
        <v>6633.93</v>
      </c>
      <c r="K27" s="17">
        <f t="shared" si="3"/>
        <v>0.44887547478292072</v>
      </c>
      <c r="L27" s="24">
        <v>1054.7</v>
      </c>
      <c r="M27" s="17">
        <f t="shared" si="4"/>
        <v>8.7620918029954115E-2</v>
      </c>
      <c r="N27" s="34">
        <v>-302.52</v>
      </c>
      <c r="O27" s="25">
        <v>0</v>
      </c>
      <c r="P27" s="25">
        <v>0</v>
      </c>
      <c r="Q27" s="12"/>
      <c r="R27" s="13"/>
      <c r="S27" s="13"/>
      <c r="T27" s="13"/>
      <c r="U27" s="13"/>
    </row>
    <row r="28" spans="1:21" s="2" customFormat="1" ht="15.75" hidden="1" x14ac:dyDescent="0.25">
      <c r="B28" s="31">
        <f t="shared" si="2"/>
        <v>24</v>
      </c>
      <c r="C28" s="30" t="s">
        <v>31</v>
      </c>
      <c r="D28" s="30" t="s">
        <v>34</v>
      </c>
      <c r="E28" s="30" t="s">
        <v>15</v>
      </c>
      <c r="F28" s="10">
        <v>44212</v>
      </c>
      <c r="G28" s="28" t="s">
        <v>63</v>
      </c>
      <c r="H28" s="30" t="s">
        <v>13</v>
      </c>
      <c r="I28" s="24">
        <v>5219</v>
      </c>
      <c r="J28" s="24">
        <v>2671.3</v>
      </c>
      <c r="K28" s="17">
        <f t="shared" si="3"/>
        <v>0.48815865108258283</v>
      </c>
      <c r="L28" s="24">
        <v>396.82</v>
      </c>
      <c r="M28" s="17">
        <f t="shared" si="4"/>
        <v>7.6033722935428247E-2</v>
      </c>
      <c r="N28" s="34">
        <v>-232.7</v>
      </c>
      <c r="O28" s="25">
        <v>0</v>
      </c>
      <c r="P28" s="25">
        <v>168.9</v>
      </c>
      <c r="Q28" s="12"/>
      <c r="R28" s="13"/>
      <c r="S28" s="13"/>
      <c r="T28" s="13"/>
      <c r="U28" s="13"/>
    </row>
    <row r="29" spans="1:21" s="2" customFormat="1" ht="15.75" hidden="1" x14ac:dyDescent="0.25">
      <c r="B29" s="31">
        <f t="shared" si="2"/>
        <v>25</v>
      </c>
      <c r="C29" s="30" t="s">
        <v>31</v>
      </c>
      <c r="D29" s="30" t="s">
        <v>34</v>
      </c>
      <c r="E29" s="30" t="s">
        <v>27</v>
      </c>
      <c r="F29" s="10">
        <v>44229</v>
      </c>
      <c r="G29" s="28" t="s">
        <v>61</v>
      </c>
      <c r="H29" s="30" t="s">
        <v>14</v>
      </c>
      <c r="I29" s="24">
        <v>19775.669999999998</v>
      </c>
      <c r="J29" s="24">
        <v>11120.47</v>
      </c>
      <c r="K29" s="17">
        <f t="shared" si="3"/>
        <v>0.43766911563552585</v>
      </c>
      <c r="L29" s="24">
        <v>557.89</v>
      </c>
      <c r="M29" s="17">
        <f t="shared" si="4"/>
        <v>2.8210927872481691E-2</v>
      </c>
      <c r="N29" s="34">
        <v>-1452.93</v>
      </c>
      <c r="O29" s="32">
        <v>0</v>
      </c>
      <c r="P29" s="25">
        <v>639.99</v>
      </c>
      <c r="Q29" s="12"/>
      <c r="R29" s="13"/>
      <c r="S29" s="13"/>
      <c r="T29" s="13"/>
      <c r="U29" s="13"/>
    </row>
    <row r="30" spans="1:21" s="2" customFormat="1" ht="15.75" hidden="1" x14ac:dyDescent="0.25">
      <c r="B30" s="31">
        <f t="shared" si="2"/>
        <v>26</v>
      </c>
      <c r="C30" s="30" t="s">
        <v>31</v>
      </c>
      <c r="D30" s="30" t="s">
        <v>34</v>
      </c>
      <c r="E30" s="30" t="s">
        <v>45</v>
      </c>
      <c r="F30" s="10">
        <v>44259</v>
      </c>
      <c r="G30" s="28" t="s">
        <v>67</v>
      </c>
      <c r="H30" s="30" t="s">
        <v>20</v>
      </c>
      <c r="I30" s="24">
        <v>33646.35</v>
      </c>
      <c r="J30" s="24">
        <v>16388.32</v>
      </c>
      <c r="K30" s="17">
        <f t="shared" si="3"/>
        <v>0.5129242845063432</v>
      </c>
      <c r="L30" s="24">
        <v>3371.47</v>
      </c>
      <c r="M30" s="17">
        <f t="shared" si="4"/>
        <v>0.1002031423913738</v>
      </c>
      <c r="N30" s="34">
        <v>-296.64999999999998</v>
      </c>
      <c r="O30" s="25">
        <v>0</v>
      </c>
      <c r="P30" s="25">
        <v>0</v>
      </c>
      <c r="Q30" s="12"/>
      <c r="R30" s="13"/>
      <c r="S30" s="13"/>
      <c r="T30" s="13"/>
      <c r="U30" s="13"/>
    </row>
    <row r="31" spans="1:21" s="2" customFormat="1" ht="15.75" hidden="1" x14ac:dyDescent="0.25">
      <c r="B31" s="31">
        <f t="shared" si="2"/>
        <v>27</v>
      </c>
      <c r="C31" s="36" t="s">
        <v>115</v>
      </c>
      <c r="D31" s="31" t="s">
        <v>99</v>
      </c>
      <c r="E31" s="30" t="s">
        <v>335</v>
      </c>
      <c r="F31" s="10">
        <v>44244</v>
      </c>
      <c r="G31" s="28" t="s">
        <v>65</v>
      </c>
      <c r="H31" s="30" t="s">
        <v>16</v>
      </c>
      <c r="I31" s="24">
        <v>9795.42</v>
      </c>
      <c r="J31" s="24">
        <v>5326.67</v>
      </c>
      <c r="K31" s="17">
        <f t="shared" si="3"/>
        <v>0.45620810542069662</v>
      </c>
      <c r="L31" s="24">
        <v>999.55</v>
      </c>
      <c r="M31" s="17">
        <f t="shared" si="4"/>
        <v>0.10204258724995967</v>
      </c>
      <c r="N31" s="24">
        <v>139.62</v>
      </c>
      <c r="O31" s="25">
        <v>0</v>
      </c>
      <c r="P31" s="25">
        <v>161.25</v>
      </c>
      <c r="Q31" s="12"/>
      <c r="R31" s="13"/>
      <c r="S31" s="13"/>
      <c r="T31" s="13"/>
      <c r="U31" s="13"/>
    </row>
    <row r="32" spans="1:21" s="2" customFormat="1" ht="15.75" hidden="1" x14ac:dyDescent="0.25">
      <c r="A32" s="33"/>
      <c r="B32" s="31">
        <f t="shared" si="2"/>
        <v>28</v>
      </c>
      <c r="C32" s="36" t="s">
        <v>115</v>
      </c>
      <c r="D32" s="31" t="s">
        <v>99</v>
      </c>
      <c r="E32" s="30" t="s">
        <v>335</v>
      </c>
      <c r="F32" s="10">
        <v>44259</v>
      </c>
      <c r="G32" s="28" t="s">
        <v>62</v>
      </c>
      <c r="H32" s="30" t="s">
        <v>18</v>
      </c>
      <c r="I32" s="24">
        <v>12768.43</v>
      </c>
      <c r="J32" s="24">
        <v>6161.91</v>
      </c>
      <c r="K32" s="17">
        <f t="shared" si="3"/>
        <v>0.51741051953920725</v>
      </c>
      <c r="L32" s="24">
        <v>1351.49</v>
      </c>
      <c r="M32" s="17">
        <f t="shared" si="4"/>
        <v>0.10584621601872744</v>
      </c>
      <c r="N32" s="24">
        <v>1247.1300000000001</v>
      </c>
      <c r="O32" s="25">
        <v>0</v>
      </c>
      <c r="P32" s="25">
        <v>0</v>
      </c>
      <c r="Q32" s="12"/>
      <c r="R32" s="13"/>
      <c r="S32" s="13"/>
      <c r="T32" s="13"/>
      <c r="U32" s="13"/>
    </row>
    <row r="33" spans="1:21" s="2" customFormat="1" ht="15.75" hidden="1" x14ac:dyDescent="0.25">
      <c r="A33" s="33"/>
      <c r="B33" s="31">
        <f t="shared" si="2"/>
        <v>29</v>
      </c>
      <c r="C33" s="18" t="s">
        <v>31</v>
      </c>
      <c r="D33" s="18" t="s">
        <v>26</v>
      </c>
      <c r="E33" s="18" t="s">
        <v>27</v>
      </c>
      <c r="F33" s="10">
        <v>44298</v>
      </c>
      <c r="G33" s="28" t="s">
        <v>68</v>
      </c>
      <c r="H33" s="18" t="s">
        <v>33</v>
      </c>
      <c r="I33" s="24">
        <v>14834</v>
      </c>
      <c r="J33" s="24">
        <v>5998.87</v>
      </c>
      <c r="K33" s="17">
        <f t="shared" si="3"/>
        <v>0.59559997303491985</v>
      </c>
      <c r="L33" s="24">
        <v>1702.21</v>
      </c>
      <c r="M33" s="17">
        <f t="shared" ref="M33:M61" si="5">L33/I33</f>
        <v>0.1147505730079547</v>
      </c>
      <c r="N33" s="24">
        <v>817.28</v>
      </c>
      <c r="O33" s="25">
        <v>100</v>
      </c>
      <c r="P33" s="25">
        <v>480</v>
      </c>
      <c r="Q33" s="12"/>
      <c r="R33" s="13"/>
      <c r="S33" s="13"/>
      <c r="T33" s="13"/>
      <c r="U33" s="13"/>
    </row>
    <row r="34" spans="1:21" s="2" customFormat="1" ht="15.75" hidden="1" x14ac:dyDescent="0.25">
      <c r="A34" s="33"/>
      <c r="B34" s="31">
        <f t="shared" si="2"/>
        <v>30</v>
      </c>
      <c r="C34" s="31" t="s">
        <v>31</v>
      </c>
      <c r="D34" s="31" t="s">
        <v>26</v>
      </c>
      <c r="E34" s="31" t="s">
        <v>27</v>
      </c>
      <c r="F34" s="10">
        <v>44296</v>
      </c>
      <c r="G34" s="28" t="s">
        <v>69</v>
      </c>
      <c r="H34" s="31" t="s">
        <v>19</v>
      </c>
      <c r="I34" s="24">
        <v>4634.99</v>
      </c>
      <c r="J34" s="24">
        <v>2017.39</v>
      </c>
      <c r="K34" s="17">
        <f t="shared" ref="K34:K61" si="6">(I34-J34)/I34</f>
        <v>0.56474771250854905</v>
      </c>
      <c r="L34" s="24">
        <v>473</v>
      </c>
      <c r="M34" s="17">
        <f t="shared" si="5"/>
        <v>0.10204984261023217</v>
      </c>
      <c r="N34" s="24">
        <v>133.99</v>
      </c>
      <c r="O34" s="25">
        <v>0</v>
      </c>
      <c r="P34" s="25">
        <v>0</v>
      </c>
      <c r="Q34" s="12"/>
      <c r="R34" s="13"/>
      <c r="S34" s="13"/>
      <c r="T34" s="13"/>
      <c r="U34" s="13"/>
    </row>
    <row r="35" spans="1:21" s="2" customFormat="1" ht="15.75" hidden="1" x14ac:dyDescent="0.25">
      <c r="A35" s="33"/>
      <c r="B35" s="31">
        <f t="shared" si="2"/>
        <v>31</v>
      </c>
      <c r="C35" s="31" t="s">
        <v>31</v>
      </c>
      <c r="D35" s="31" t="s">
        <v>26</v>
      </c>
      <c r="E35" s="31" t="s">
        <v>27</v>
      </c>
      <c r="F35" s="10">
        <v>44216</v>
      </c>
      <c r="G35" s="28" t="s">
        <v>70</v>
      </c>
      <c r="H35" s="31" t="s">
        <v>193</v>
      </c>
      <c r="I35" s="24">
        <v>26666.67</v>
      </c>
      <c r="J35" s="24">
        <v>9003.17</v>
      </c>
      <c r="K35" s="17">
        <f t="shared" si="6"/>
        <v>0.66238116720235418</v>
      </c>
      <c r="L35" s="24">
        <v>2524.7199999999998</v>
      </c>
      <c r="M35" s="17">
        <f t="shared" si="5"/>
        <v>9.467698816537648E-2</v>
      </c>
      <c r="N35" s="34">
        <v>-615.13</v>
      </c>
      <c r="O35" s="25">
        <v>400</v>
      </c>
      <c r="P35" s="25">
        <v>0</v>
      </c>
      <c r="Q35" s="12"/>
      <c r="R35" s="13"/>
      <c r="S35" s="13"/>
      <c r="T35" s="13"/>
      <c r="U35" s="13"/>
    </row>
    <row r="36" spans="1:21" s="2" customFormat="1" ht="15.75" hidden="1" x14ac:dyDescent="0.25">
      <c r="A36" s="33"/>
      <c r="B36" s="31">
        <f t="shared" si="2"/>
        <v>32</v>
      </c>
      <c r="C36" s="36" t="s">
        <v>115</v>
      </c>
      <c r="D36" s="31" t="s">
        <v>99</v>
      </c>
      <c r="E36" s="31" t="s">
        <v>335</v>
      </c>
      <c r="F36" s="10">
        <v>44279</v>
      </c>
      <c r="G36" s="28" t="s">
        <v>71</v>
      </c>
      <c r="H36" s="31" t="s">
        <v>16</v>
      </c>
      <c r="I36" s="24">
        <v>9384.7900000000009</v>
      </c>
      <c r="J36" s="24">
        <v>4841.2700000000004</v>
      </c>
      <c r="K36" s="17">
        <f t="shared" si="6"/>
        <v>0.48413656565570462</v>
      </c>
      <c r="L36" s="24">
        <v>849.82</v>
      </c>
      <c r="M36" s="17">
        <f t="shared" si="5"/>
        <v>9.0552905286106558E-2</v>
      </c>
      <c r="N36" s="24">
        <v>180.49</v>
      </c>
      <c r="O36" s="25">
        <v>0</v>
      </c>
      <c r="P36" s="25">
        <v>0</v>
      </c>
      <c r="Q36" s="12"/>
      <c r="R36" s="13"/>
      <c r="S36" s="13"/>
      <c r="T36" s="13"/>
      <c r="U36" s="13"/>
    </row>
    <row r="37" spans="1:21" s="2" customFormat="1" ht="15.75" hidden="1" x14ac:dyDescent="0.25">
      <c r="A37" s="33"/>
      <c r="B37" s="31">
        <f t="shared" si="2"/>
        <v>33</v>
      </c>
      <c r="C37" s="31" t="s">
        <v>31</v>
      </c>
      <c r="D37" s="31" t="s">
        <v>43</v>
      </c>
      <c r="E37" s="31" t="s">
        <v>27</v>
      </c>
      <c r="F37" s="10">
        <v>44300</v>
      </c>
      <c r="G37" s="28" t="s">
        <v>72</v>
      </c>
      <c r="H37" s="31" t="s">
        <v>24</v>
      </c>
      <c r="I37" s="24">
        <v>4530.24</v>
      </c>
      <c r="J37" s="24">
        <v>2100.2800000000002</v>
      </c>
      <c r="K37" s="17">
        <f t="shared" si="6"/>
        <v>0.536386593204775</v>
      </c>
      <c r="L37" s="24">
        <v>400.68</v>
      </c>
      <c r="M37" s="17">
        <f t="shared" si="5"/>
        <v>8.8445645263827088E-2</v>
      </c>
      <c r="N37" s="34">
        <v>-525.86</v>
      </c>
      <c r="O37" s="25">
        <v>0</v>
      </c>
      <c r="P37" s="25">
        <v>146.61000000000001</v>
      </c>
      <c r="Q37" s="12"/>
      <c r="R37" s="13"/>
      <c r="S37" s="13"/>
      <c r="T37" s="13"/>
      <c r="U37" s="13"/>
    </row>
    <row r="38" spans="1:21" s="2" customFormat="1" ht="15.75" hidden="1" x14ac:dyDescent="0.25">
      <c r="A38" s="33"/>
      <c r="B38" s="31">
        <f t="shared" si="2"/>
        <v>34</v>
      </c>
      <c r="C38" s="31" t="s">
        <v>31</v>
      </c>
      <c r="D38" s="31" t="s">
        <v>34</v>
      </c>
      <c r="E38" s="31" t="s">
        <v>27</v>
      </c>
      <c r="F38" s="10">
        <v>44283</v>
      </c>
      <c r="G38" s="28" t="s">
        <v>73</v>
      </c>
      <c r="H38" s="31" t="s">
        <v>19</v>
      </c>
      <c r="I38" s="24">
        <v>5977.29</v>
      </c>
      <c r="J38" s="24">
        <v>2815.77</v>
      </c>
      <c r="K38" s="17">
        <f t="shared" si="6"/>
        <v>0.52892196965514471</v>
      </c>
      <c r="L38" s="24">
        <v>518.79999999999995</v>
      </c>
      <c r="M38" s="17">
        <f t="shared" si="5"/>
        <v>8.6795186447369957E-2</v>
      </c>
      <c r="N38" s="34">
        <v>-342.31</v>
      </c>
      <c r="O38" s="25">
        <v>0</v>
      </c>
      <c r="P38" s="25">
        <v>193.44</v>
      </c>
      <c r="Q38" s="12"/>
      <c r="R38" s="13"/>
      <c r="S38" s="13"/>
      <c r="T38" s="13"/>
      <c r="U38" s="13"/>
    </row>
    <row r="39" spans="1:21" s="2" customFormat="1" ht="15.75" hidden="1" x14ac:dyDescent="0.25">
      <c r="A39" s="33"/>
      <c r="B39" s="31">
        <f t="shared" si="2"/>
        <v>35</v>
      </c>
      <c r="C39" s="31" t="s">
        <v>31</v>
      </c>
      <c r="D39" s="31" t="s">
        <v>26</v>
      </c>
      <c r="E39" s="31" t="s">
        <v>27</v>
      </c>
      <c r="F39" s="10">
        <v>44215</v>
      </c>
      <c r="G39" s="28" t="s">
        <v>74</v>
      </c>
      <c r="H39" s="31" t="s">
        <v>14</v>
      </c>
      <c r="I39" s="24">
        <v>25556.36</v>
      </c>
      <c r="J39" s="24">
        <v>13003.08</v>
      </c>
      <c r="K39" s="17">
        <f t="shared" si="6"/>
        <v>0.49119984223105329</v>
      </c>
      <c r="L39" s="24">
        <v>2353.7800000000002</v>
      </c>
      <c r="M39" s="17">
        <f t="shared" si="5"/>
        <v>9.210153558644503E-2</v>
      </c>
      <c r="N39" s="24">
        <v>730.86</v>
      </c>
      <c r="O39" s="25">
        <v>0</v>
      </c>
      <c r="P39" s="25">
        <v>0</v>
      </c>
      <c r="Q39" s="12"/>
      <c r="R39" s="13"/>
      <c r="S39" s="13"/>
      <c r="T39" s="13"/>
      <c r="U39" s="13"/>
    </row>
    <row r="40" spans="1:21" s="2" customFormat="1" ht="15.75" hidden="1" x14ac:dyDescent="0.25">
      <c r="A40" s="33"/>
      <c r="B40" s="31">
        <f t="shared" si="2"/>
        <v>36</v>
      </c>
      <c r="C40" s="36" t="s">
        <v>115</v>
      </c>
      <c r="D40" s="31" t="s">
        <v>99</v>
      </c>
      <c r="E40" s="31" t="s">
        <v>335</v>
      </c>
      <c r="F40" s="10">
        <v>44204</v>
      </c>
      <c r="G40" s="28" t="s">
        <v>77</v>
      </c>
      <c r="H40" s="31" t="s">
        <v>18</v>
      </c>
      <c r="I40" s="24">
        <v>35751.599999999999</v>
      </c>
      <c r="J40" s="24">
        <v>16937.95</v>
      </c>
      <c r="K40" s="17">
        <f t="shared" si="6"/>
        <v>0.52623239239642416</v>
      </c>
      <c r="L40" s="24">
        <v>4198.9799999999996</v>
      </c>
      <c r="M40" s="17">
        <f t="shared" si="5"/>
        <v>0.11744872956734803</v>
      </c>
      <c r="N40" s="24">
        <v>2774.3</v>
      </c>
      <c r="O40" s="25">
        <v>0</v>
      </c>
      <c r="P40" s="25">
        <v>0</v>
      </c>
      <c r="Q40" s="12"/>
      <c r="R40" s="13"/>
      <c r="S40" s="13"/>
      <c r="T40" s="13"/>
      <c r="U40" s="13"/>
    </row>
    <row r="41" spans="1:21" s="2" customFormat="1" ht="15.75" hidden="1" x14ac:dyDescent="0.25">
      <c r="A41" s="33"/>
      <c r="B41" s="31">
        <f t="shared" si="2"/>
        <v>37</v>
      </c>
      <c r="C41" s="36" t="s">
        <v>115</v>
      </c>
      <c r="D41" s="31" t="s">
        <v>26</v>
      </c>
      <c r="E41" s="31" t="s">
        <v>27</v>
      </c>
      <c r="F41" s="10">
        <v>44337</v>
      </c>
      <c r="G41" s="28" t="s">
        <v>75</v>
      </c>
      <c r="H41" s="31" t="s">
        <v>24</v>
      </c>
      <c r="I41" s="24">
        <v>6195.71</v>
      </c>
      <c r="J41" s="24">
        <v>2532.77</v>
      </c>
      <c r="K41" s="17">
        <f t="shared" si="6"/>
        <v>0.59120585049978136</v>
      </c>
      <c r="L41" s="24">
        <v>653.04999999999995</v>
      </c>
      <c r="M41" s="17">
        <f t="shared" si="5"/>
        <v>0.10540357763678415</v>
      </c>
      <c r="N41" s="24">
        <v>63.71</v>
      </c>
      <c r="O41" s="25">
        <v>50</v>
      </c>
      <c r="P41" s="25">
        <v>0</v>
      </c>
      <c r="Q41" s="12"/>
      <c r="R41" s="13"/>
      <c r="S41" s="13"/>
      <c r="T41" s="13"/>
      <c r="U41" s="13"/>
    </row>
    <row r="42" spans="1:21" s="2" customFormat="1" ht="15.75" hidden="1" x14ac:dyDescent="0.25">
      <c r="A42" s="33"/>
      <c r="B42" s="31">
        <f t="shared" si="2"/>
        <v>38</v>
      </c>
      <c r="C42" s="31" t="s">
        <v>31</v>
      </c>
      <c r="D42" s="31" t="s">
        <v>34</v>
      </c>
      <c r="E42" s="31" t="s">
        <v>45</v>
      </c>
      <c r="F42" s="10">
        <v>44281</v>
      </c>
      <c r="G42" s="28" t="s">
        <v>76</v>
      </c>
      <c r="H42" s="31" t="s">
        <v>13</v>
      </c>
      <c r="I42" s="24">
        <v>4277.17</v>
      </c>
      <c r="J42" s="24">
        <v>2016.24</v>
      </c>
      <c r="K42" s="17">
        <f t="shared" si="6"/>
        <v>0.52860419389456115</v>
      </c>
      <c r="L42" s="24">
        <v>356.13</v>
      </c>
      <c r="M42" s="17">
        <f t="shared" si="5"/>
        <v>8.3262998665005125E-2</v>
      </c>
      <c r="N42" s="34">
        <v>-242.73</v>
      </c>
      <c r="O42" s="25">
        <v>0</v>
      </c>
      <c r="P42" s="25">
        <v>0</v>
      </c>
      <c r="Q42" s="12"/>
      <c r="R42" s="13"/>
      <c r="S42" s="13"/>
      <c r="T42" s="13"/>
      <c r="U42" s="13"/>
    </row>
    <row r="43" spans="1:21" s="2" customFormat="1" ht="15.75" hidden="1" x14ac:dyDescent="0.25">
      <c r="A43" s="33"/>
      <c r="B43" s="31">
        <f t="shared" si="2"/>
        <v>39</v>
      </c>
      <c r="C43" s="31" t="s">
        <v>31</v>
      </c>
      <c r="D43" s="31" t="s">
        <v>43</v>
      </c>
      <c r="E43" s="31" t="s">
        <v>27</v>
      </c>
      <c r="F43" s="10">
        <v>44300</v>
      </c>
      <c r="G43" s="28" t="s">
        <v>78</v>
      </c>
      <c r="H43" s="31" t="s">
        <v>14</v>
      </c>
      <c r="I43" s="24">
        <v>9455.39</v>
      </c>
      <c r="J43" s="24">
        <v>4236.5600000000004</v>
      </c>
      <c r="K43" s="17">
        <f t="shared" si="6"/>
        <v>0.5519423313052132</v>
      </c>
      <c r="L43" s="24">
        <v>903.84</v>
      </c>
      <c r="M43" s="17">
        <f t="shared" si="5"/>
        <v>9.5589922784782025E-2</v>
      </c>
      <c r="N43" s="34">
        <v>-492</v>
      </c>
      <c r="O43" s="25">
        <v>300</v>
      </c>
      <c r="P43" s="25">
        <v>153</v>
      </c>
      <c r="Q43" s="12"/>
      <c r="R43" s="13"/>
      <c r="S43" s="13"/>
      <c r="T43" s="13"/>
      <c r="U43" s="13"/>
    </row>
    <row r="44" spans="1:21" s="2" customFormat="1" ht="15.75" hidden="1" x14ac:dyDescent="0.25">
      <c r="A44" s="33"/>
      <c r="B44" s="31">
        <f t="shared" si="2"/>
        <v>40</v>
      </c>
      <c r="C44" s="31" t="s">
        <v>31</v>
      </c>
      <c r="D44" s="31" t="s">
        <v>34</v>
      </c>
      <c r="E44" s="31" t="s">
        <v>27</v>
      </c>
      <c r="F44" s="10">
        <v>44329</v>
      </c>
      <c r="G44" s="28" t="s">
        <v>79</v>
      </c>
      <c r="H44" s="31" t="s">
        <v>14</v>
      </c>
      <c r="I44" s="24">
        <v>7307.53</v>
      </c>
      <c r="J44" s="24">
        <v>2777.98</v>
      </c>
      <c r="K44" s="17">
        <f t="shared" si="6"/>
        <v>0.61984692502117666</v>
      </c>
      <c r="L44" s="24">
        <v>1182.77</v>
      </c>
      <c r="M44" s="17">
        <f t="shared" si="5"/>
        <v>0.16185633175642111</v>
      </c>
      <c r="N44" s="24">
        <v>626.03</v>
      </c>
      <c r="O44" s="25">
        <v>0</v>
      </c>
      <c r="P44" s="25">
        <v>236.49</v>
      </c>
      <c r="Q44" s="12"/>
      <c r="R44" s="13"/>
      <c r="S44" s="13"/>
      <c r="T44" s="13"/>
      <c r="U44" s="13"/>
    </row>
    <row r="45" spans="1:21" s="2" customFormat="1" ht="15.75" hidden="1" x14ac:dyDescent="0.25">
      <c r="A45" s="33"/>
      <c r="B45" s="31">
        <f t="shared" si="2"/>
        <v>41</v>
      </c>
      <c r="C45" s="31" t="s">
        <v>31</v>
      </c>
      <c r="D45" s="31" t="s">
        <v>99</v>
      </c>
      <c r="E45" s="31" t="s">
        <v>334</v>
      </c>
      <c r="F45" s="10">
        <v>44235</v>
      </c>
      <c r="G45" s="28" t="s">
        <v>80</v>
      </c>
      <c r="H45" s="31" t="s">
        <v>18</v>
      </c>
      <c r="I45" s="24">
        <v>40231.75</v>
      </c>
      <c r="J45" s="24">
        <v>21116.6</v>
      </c>
      <c r="K45" s="17">
        <f t="shared" si="6"/>
        <v>0.47512598880237628</v>
      </c>
      <c r="L45" s="24">
        <v>3815.67</v>
      </c>
      <c r="M45" s="17">
        <f t="shared" si="5"/>
        <v>9.4842257669626603E-2</v>
      </c>
      <c r="N45" s="24">
        <v>485.75</v>
      </c>
      <c r="O45" s="25">
        <v>0</v>
      </c>
      <c r="P45" s="25">
        <v>1272</v>
      </c>
      <c r="Q45" s="12"/>
      <c r="R45" s="13"/>
      <c r="S45" s="13"/>
      <c r="T45" s="13"/>
      <c r="U45" s="13"/>
    </row>
    <row r="46" spans="1:21" s="2" customFormat="1" ht="15.75" hidden="1" x14ac:dyDescent="0.25">
      <c r="A46" s="33"/>
      <c r="B46" s="31">
        <f t="shared" si="2"/>
        <v>42</v>
      </c>
      <c r="C46" s="31" t="s">
        <v>31</v>
      </c>
      <c r="D46" s="31" t="s">
        <v>99</v>
      </c>
      <c r="E46" s="31" t="s">
        <v>334</v>
      </c>
      <c r="F46" s="10">
        <v>44226</v>
      </c>
      <c r="G46" s="28" t="s">
        <v>81</v>
      </c>
      <c r="H46" s="31" t="s">
        <v>18</v>
      </c>
      <c r="I46" s="24">
        <v>31360.37</v>
      </c>
      <c r="J46" s="24">
        <v>15173.4</v>
      </c>
      <c r="K46" s="17">
        <f t="shared" si="6"/>
        <v>0.5161600453055879</v>
      </c>
      <c r="L46" s="24">
        <v>3151.73</v>
      </c>
      <c r="M46" s="17">
        <f t="shared" si="5"/>
        <v>0.10050040863676035</v>
      </c>
      <c r="N46" s="24">
        <v>4744.2700000000004</v>
      </c>
      <c r="O46" s="25">
        <v>0</v>
      </c>
      <c r="P46" s="25">
        <v>0</v>
      </c>
      <c r="Q46" s="12"/>
      <c r="R46" s="13"/>
      <c r="S46" s="13"/>
      <c r="T46" s="13"/>
      <c r="U46" s="13"/>
    </row>
    <row r="47" spans="1:21" s="2" customFormat="1" ht="15.75" hidden="1" x14ac:dyDescent="0.25">
      <c r="A47" s="33"/>
      <c r="B47" s="31">
        <f t="shared" si="2"/>
        <v>43</v>
      </c>
      <c r="C47" s="31" t="s">
        <v>82</v>
      </c>
      <c r="D47" s="31" t="s">
        <v>26</v>
      </c>
      <c r="E47" s="31" t="s">
        <v>27</v>
      </c>
      <c r="F47" s="10">
        <v>44249</v>
      </c>
      <c r="G47" s="28" t="s">
        <v>83</v>
      </c>
      <c r="H47" s="31" t="s">
        <v>14</v>
      </c>
      <c r="I47" s="24">
        <v>13806.3</v>
      </c>
      <c r="J47" s="24">
        <v>6855.37</v>
      </c>
      <c r="K47" s="17">
        <f t="shared" si="6"/>
        <v>0.50346073893802101</v>
      </c>
      <c r="L47" s="24">
        <v>1102.97</v>
      </c>
      <c r="M47" s="17">
        <f t="shared" si="5"/>
        <v>7.9888891303245627E-2</v>
      </c>
      <c r="N47" s="24">
        <v>320.98</v>
      </c>
      <c r="O47" s="25">
        <v>0</v>
      </c>
      <c r="P47" s="25">
        <v>0</v>
      </c>
      <c r="Q47" s="12"/>
      <c r="R47" s="13"/>
      <c r="S47" s="13"/>
      <c r="T47" s="13"/>
      <c r="U47" s="13"/>
    </row>
    <row r="48" spans="1:21" s="2" customFormat="1" ht="15.75" hidden="1" x14ac:dyDescent="0.25">
      <c r="A48" s="33"/>
      <c r="B48" s="31">
        <f t="shared" si="2"/>
        <v>44</v>
      </c>
      <c r="C48" s="31" t="s">
        <v>31</v>
      </c>
      <c r="D48" s="31" t="s">
        <v>26</v>
      </c>
      <c r="E48" s="31" t="s">
        <v>27</v>
      </c>
      <c r="F48" s="10">
        <v>44309</v>
      </c>
      <c r="G48" s="28" t="s">
        <v>84</v>
      </c>
      <c r="H48" s="31" t="s">
        <v>14</v>
      </c>
      <c r="I48" s="24">
        <v>11587.49</v>
      </c>
      <c r="J48" s="24">
        <v>4967.3999999999996</v>
      </c>
      <c r="K48" s="17">
        <f t="shared" si="6"/>
        <v>0.57131354590165773</v>
      </c>
      <c r="L48" s="24">
        <v>1254.49</v>
      </c>
      <c r="M48" s="17">
        <f t="shared" si="5"/>
        <v>0.10826244510243375</v>
      </c>
      <c r="N48" s="24">
        <v>191.49</v>
      </c>
      <c r="O48" s="25">
        <v>100</v>
      </c>
      <c r="P48" s="25">
        <v>375</v>
      </c>
      <c r="Q48" s="12"/>
      <c r="R48" s="13"/>
      <c r="S48" s="13"/>
      <c r="T48" s="13"/>
      <c r="U48" s="13"/>
    </row>
    <row r="49" spans="1:21" s="2" customFormat="1" ht="15.75" hidden="1" x14ac:dyDescent="0.25">
      <c r="A49" s="33"/>
      <c r="B49" s="31">
        <f t="shared" si="2"/>
        <v>45</v>
      </c>
      <c r="C49" s="31" t="s">
        <v>31</v>
      </c>
      <c r="D49" s="31" t="s">
        <v>26</v>
      </c>
      <c r="E49" s="31" t="s">
        <v>27</v>
      </c>
      <c r="F49" s="10">
        <v>44284</v>
      </c>
      <c r="G49" s="28" t="s">
        <v>85</v>
      </c>
      <c r="H49" s="31" t="s">
        <v>14</v>
      </c>
      <c r="I49" s="24">
        <v>14827.35</v>
      </c>
      <c r="J49" s="24">
        <v>5066.57</v>
      </c>
      <c r="K49" s="17">
        <f t="shared" si="6"/>
        <v>0.65829564959348774</v>
      </c>
      <c r="L49" s="24">
        <v>1778.89</v>
      </c>
      <c r="M49" s="17">
        <f t="shared" si="5"/>
        <v>0.11997356236954007</v>
      </c>
      <c r="N49" s="24">
        <v>762.25</v>
      </c>
      <c r="O49" s="25">
        <v>200</v>
      </c>
      <c r="P49" s="25">
        <v>0</v>
      </c>
      <c r="Q49" s="12"/>
      <c r="R49" s="13"/>
      <c r="S49" s="13"/>
      <c r="T49" s="13"/>
      <c r="U49" s="13"/>
    </row>
    <row r="50" spans="1:21" s="2" customFormat="1" ht="15.75" hidden="1" x14ac:dyDescent="0.25">
      <c r="A50" s="33"/>
      <c r="B50" s="31">
        <f t="shared" si="2"/>
        <v>46</v>
      </c>
      <c r="C50" s="31" t="s">
        <v>31</v>
      </c>
      <c r="D50" s="31" t="s">
        <v>43</v>
      </c>
      <c r="E50" s="31" t="s">
        <v>334</v>
      </c>
      <c r="F50" s="10">
        <v>44291</v>
      </c>
      <c r="G50" s="28" t="s">
        <v>86</v>
      </c>
      <c r="H50" s="31" t="s">
        <v>16</v>
      </c>
      <c r="I50" s="24">
        <v>8356.61</v>
      </c>
      <c r="J50" s="24">
        <v>4324.8100000000004</v>
      </c>
      <c r="K50" s="17">
        <f t="shared" si="6"/>
        <v>0.48246836935072951</v>
      </c>
      <c r="L50" s="24">
        <v>783.02</v>
      </c>
      <c r="M50" s="17">
        <f t="shared" si="5"/>
        <v>9.370067527382514E-2</v>
      </c>
      <c r="N50" s="34">
        <v>-61.59</v>
      </c>
      <c r="O50" s="25">
        <v>0</v>
      </c>
      <c r="P50" s="25">
        <v>0</v>
      </c>
      <c r="Q50" s="12"/>
      <c r="R50" s="13"/>
      <c r="S50" s="13"/>
      <c r="T50" s="13"/>
      <c r="U50" s="13"/>
    </row>
    <row r="51" spans="1:21" s="2" customFormat="1" ht="15.75" hidden="1" x14ac:dyDescent="0.25">
      <c r="A51" s="33"/>
      <c r="B51" s="31">
        <f t="shared" si="2"/>
        <v>47</v>
      </c>
      <c r="C51" s="31" t="s">
        <v>31</v>
      </c>
      <c r="D51" s="31" t="s">
        <v>26</v>
      </c>
      <c r="E51" s="31" t="s">
        <v>27</v>
      </c>
      <c r="F51" s="10">
        <v>44278</v>
      </c>
      <c r="G51" s="28" t="s">
        <v>87</v>
      </c>
      <c r="H51" s="31" t="s">
        <v>190</v>
      </c>
      <c r="I51" s="24">
        <v>14368.48</v>
      </c>
      <c r="J51" s="24">
        <v>6235.06</v>
      </c>
      <c r="K51" s="17">
        <f t="shared" si="6"/>
        <v>0.56605987550527259</v>
      </c>
      <c r="L51" s="24">
        <v>1496.78</v>
      </c>
      <c r="M51" s="17">
        <f t="shared" si="5"/>
        <v>0.10417107446299122</v>
      </c>
      <c r="N51" s="24">
        <v>10.08</v>
      </c>
      <c r="O51" s="25">
        <v>100</v>
      </c>
      <c r="P51" s="25">
        <v>232.5</v>
      </c>
      <c r="Q51" s="12"/>
      <c r="R51" s="13"/>
      <c r="S51" s="13"/>
      <c r="T51" s="13"/>
      <c r="U51" s="13"/>
    </row>
    <row r="52" spans="1:21" s="2" customFormat="1" ht="15.75" hidden="1" x14ac:dyDescent="0.25">
      <c r="A52" s="33"/>
      <c r="B52" s="31">
        <f t="shared" si="2"/>
        <v>48</v>
      </c>
      <c r="C52" s="31" t="s">
        <v>31</v>
      </c>
      <c r="D52" s="31" t="s">
        <v>43</v>
      </c>
      <c r="E52" s="31" t="s">
        <v>27</v>
      </c>
      <c r="F52" s="10">
        <v>44271</v>
      </c>
      <c r="G52" s="28" t="s">
        <v>88</v>
      </c>
      <c r="H52" s="31" t="s">
        <v>33</v>
      </c>
      <c r="I52" s="24">
        <v>13105.45</v>
      </c>
      <c r="J52" s="24">
        <v>5900.13</v>
      </c>
      <c r="K52" s="17">
        <f t="shared" si="6"/>
        <v>0.54979569568385678</v>
      </c>
      <c r="L52" s="24">
        <v>1450.73</v>
      </c>
      <c r="M52" s="17">
        <f t="shared" si="5"/>
        <v>0.11069669488647853</v>
      </c>
      <c r="N52" s="34">
        <v>-544.54999999999995</v>
      </c>
      <c r="O52" s="25">
        <v>400</v>
      </c>
      <c r="P52" s="25">
        <v>0</v>
      </c>
      <c r="Q52" s="12"/>
      <c r="R52" s="13"/>
      <c r="S52" s="13"/>
      <c r="T52" s="13"/>
      <c r="U52" s="13"/>
    </row>
    <row r="53" spans="1:21" s="2" customFormat="1" ht="15.75" hidden="1" x14ac:dyDescent="0.25">
      <c r="A53" s="33"/>
      <c r="B53" s="31">
        <f t="shared" si="2"/>
        <v>49</v>
      </c>
      <c r="C53" s="36" t="s">
        <v>115</v>
      </c>
      <c r="D53" s="31" t="s">
        <v>89</v>
      </c>
      <c r="E53" s="31" t="s">
        <v>334</v>
      </c>
      <c r="F53" s="10">
        <v>44275</v>
      </c>
      <c r="G53" s="28" t="s">
        <v>90</v>
      </c>
      <c r="H53" s="31" t="s">
        <v>16</v>
      </c>
      <c r="I53" s="24">
        <v>14764.94</v>
      </c>
      <c r="J53" s="24">
        <v>6723.42</v>
      </c>
      <c r="K53" s="17">
        <f t="shared" si="6"/>
        <v>0.54463614481332134</v>
      </c>
      <c r="L53" s="24">
        <v>1850.51</v>
      </c>
      <c r="M53" s="17">
        <f t="shared" si="5"/>
        <v>0.12533135928760969</v>
      </c>
      <c r="N53" s="24">
        <v>1005.04</v>
      </c>
      <c r="O53" s="25">
        <v>0</v>
      </c>
      <c r="P53" s="25">
        <v>0</v>
      </c>
      <c r="Q53" s="12"/>
      <c r="R53" s="13"/>
      <c r="S53" s="13"/>
      <c r="T53" s="13"/>
      <c r="U53" s="13"/>
    </row>
    <row r="54" spans="1:21" s="2" customFormat="1" ht="15.75" hidden="1" x14ac:dyDescent="0.25">
      <c r="A54" s="33"/>
      <c r="B54" s="31">
        <f t="shared" si="2"/>
        <v>50</v>
      </c>
      <c r="C54" s="31" t="s">
        <v>31</v>
      </c>
      <c r="D54" s="31" t="s">
        <v>99</v>
      </c>
      <c r="E54" s="31" t="s">
        <v>334</v>
      </c>
      <c r="F54" s="10">
        <v>44229</v>
      </c>
      <c r="G54" s="28" t="s">
        <v>91</v>
      </c>
      <c r="H54" s="31" t="s">
        <v>18</v>
      </c>
      <c r="I54" s="24">
        <v>25770.57</v>
      </c>
      <c r="J54" s="24">
        <v>13530.66</v>
      </c>
      <c r="K54" s="17">
        <f t="shared" si="6"/>
        <v>0.47495689850864764</v>
      </c>
      <c r="L54" s="24">
        <v>2632.8</v>
      </c>
      <c r="M54" s="17">
        <f t="shared" si="5"/>
        <v>0.10216304878006191</v>
      </c>
      <c r="N54" s="24">
        <v>898.87</v>
      </c>
      <c r="O54" s="25">
        <v>0</v>
      </c>
      <c r="P54" s="25">
        <v>0</v>
      </c>
      <c r="Q54" s="12"/>
      <c r="R54" s="13"/>
      <c r="S54" s="13"/>
      <c r="T54" s="13"/>
      <c r="U54" s="13"/>
    </row>
    <row r="55" spans="1:21" s="2" customFormat="1" ht="15.75" hidden="1" x14ac:dyDescent="0.25">
      <c r="A55" s="33"/>
      <c r="B55" s="31">
        <f t="shared" si="2"/>
        <v>51</v>
      </c>
      <c r="C55" s="31" t="s">
        <v>31</v>
      </c>
      <c r="D55" s="31" t="s">
        <v>34</v>
      </c>
      <c r="E55" s="31" t="s">
        <v>27</v>
      </c>
      <c r="F55" s="10">
        <v>44270</v>
      </c>
      <c r="G55" s="28" t="s">
        <v>92</v>
      </c>
      <c r="H55" s="31" t="s">
        <v>190</v>
      </c>
      <c r="I55" s="24">
        <v>15330.51</v>
      </c>
      <c r="J55" s="24">
        <v>8140.04</v>
      </c>
      <c r="K55" s="17">
        <f t="shared" si="6"/>
        <v>0.46903005836074602</v>
      </c>
      <c r="L55" s="24">
        <v>1002.03</v>
      </c>
      <c r="M55" s="17">
        <f t="shared" si="5"/>
        <v>6.5361817708608522E-2</v>
      </c>
      <c r="N55" s="35">
        <v>-718.1</v>
      </c>
      <c r="O55" s="25">
        <v>0</v>
      </c>
      <c r="P55" s="25">
        <v>0</v>
      </c>
      <c r="Q55" s="12"/>
      <c r="R55" s="13"/>
      <c r="S55" s="13"/>
      <c r="T55" s="13"/>
      <c r="U55" s="13"/>
    </row>
    <row r="56" spans="1:21" s="2" customFormat="1" ht="15.75" hidden="1" x14ac:dyDescent="0.25">
      <c r="A56" s="33"/>
      <c r="B56" s="31">
        <f t="shared" si="2"/>
        <v>52</v>
      </c>
      <c r="C56" s="31" t="s">
        <v>131</v>
      </c>
      <c r="D56" s="31" t="s">
        <v>99</v>
      </c>
      <c r="E56" s="31" t="s">
        <v>335</v>
      </c>
      <c r="F56" s="10">
        <v>44238</v>
      </c>
      <c r="G56" s="28" t="s">
        <v>93</v>
      </c>
      <c r="H56" s="31" t="s">
        <v>18</v>
      </c>
      <c r="I56" s="24">
        <v>13576</v>
      </c>
      <c r="J56" s="24">
        <v>6932.63</v>
      </c>
      <c r="K56" s="17">
        <f t="shared" si="6"/>
        <v>0.48934664113140836</v>
      </c>
      <c r="L56" s="24">
        <v>1448.54</v>
      </c>
      <c r="M56" s="17">
        <f t="shared" si="5"/>
        <v>0.10669858573954036</v>
      </c>
      <c r="N56" s="24">
        <v>1015.76</v>
      </c>
      <c r="O56" s="25">
        <v>0</v>
      </c>
      <c r="P56" s="25">
        <v>220.5</v>
      </c>
      <c r="Q56" s="12"/>
      <c r="R56" s="13"/>
      <c r="S56" s="13"/>
      <c r="T56" s="13"/>
      <c r="U56" s="13"/>
    </row>
    <row r="57" spans="1:21" s="2" customFormat="1" ht="15.75" hidden="1" x14ac:dyDescent="0.25">
      <c r="A57" s="33"/>
      <c r="B57" s="31">
        <f t="shared" si="2"/>
        <v>53</v>
      </c>
      <c r="C57" s="31" t="s">
        <v>31</v>
      </c>
      <c r="D57" s="31" t="s">
        <v>99</v>
      </c>
      <c r="E57" s="31" t="s">
        <v>335</v>
      </c>
      <c r="F57" s="10">
        <v>44300</v>
      </c>
      <c r="G57" s="28" t="s">
        <v>94</v>
      </c>
      <c r="H57" s="31" t="s">
        <v>333</v>
      </c>
      <c r="I57" s="24">
        <v>21452.61</v>
      </c>
      <c r="J57" s="24">
        <v>8678.4699999999993</v>
      </c>
      <c r="K57" s="17">
        <f t="shared" si="6"/>
        <v>0.59545854793426067</v>
      </c>
      <c r="L57" s="24">
        <v>3589.38</v>
      </c>
      <c r="M57" s="17">
        <f t="shared" si="5"/>
        <v>0.16731670412131672</v>
      </c>
      <c r="N57" s="24">
        <v>8680.31</v>
      </c>
      <c r="O57" s="25">
        <v>0</v>
      </c>
      <c r="P57" s="25">
        <v>0</v>
      </c>
      <c r="Q57" s="12"/>
      <c r="R57" s="13"/>
      <c r="S57" s="13"/>
      <c r="T57" s="13"/>
      <c r="U57" s="13"/>
    </row>
    <row r="58" spans="1:21" s="2" customFormat="1" ht="15.75" hidden="1" x14ac:dyDescent="0.25">
      <c r="A58" s="33"/>
      <c r="B58" s="31">
        <f t="shared" si="2"/>
        <v>54</v>
      </c>
      <c r="C58" s="31" t="s">
        <v>216</v>
      </c>
      <c r="D58" s="31" t="s">
        <v>34</v>
      </c>
      <c r="E58" s="31" t="s">
        <v>97</v>
      </c>
      <c r="F58" s="10">
        <v>44296</v>
      </c>
      <c r="G58" s="28" t="s">
        <v>95</v>
      </c>
      <c r="H58" s="31" t="s">
        <v>13</v>
      </c>
      <c r="I58" s="24">
        <v>10936</v>
      </c>
      <c r="J58" s="24">
        <v>6397.9</v>
      </c>
      <c r="K58" s="17">
        <f t="shared" si="6"/>
        <v>0.41496891002194591</v>
      </c>
      <c r="L58" s="24">
        <v>776.74</v>
      </c>
      <c r="M58" s="17">
        <f t="shared" si="5"/>
        <v>7.1025969275786388E-2</v>
      </c>
      <c r="N58" s="34">
        <v>-730.9</v>
      </c>
      <c r="O58" s="25">
        <v>0</v>
      </c>
      <c r="P58" s="25">
        <v>0</v>
      </c>
      <c r="Q58" s="12"/>
      <c r="R58" s="13"/>
      <c r="S58" s="13"/>
      <c r="T58" s="13"/>
      <c r="U58" s="13"/>
    </row>
    <row r="59" spans="1:21" s="2" customFormat="1" ht="15.75" hidden="1" x14ac:dyDescent="0.25">
      <c r="A59" s="33"/>
      <c r="B59" s="31">
        <f t="shared" si="2"/>
        <v>55</v>
      </c>
      <c r="C59" s="31" t="s">
        <v>31</v>
      </c>
      <c r="D59" s="31" t="s">
        <v>99</v>
      </c>
      <c r="E59" s="31" t="s">
        <v>335</v>
      </c>
      <c r="F59" s="10">
        <v>44309</v>
      </c>
      <c r="G59" s="28" t="s">
        <v>96</v>
      </c>
      <c r="H59" s="31" t="s">
        <v>16</v>
      </c>
      <c r="I59" s="24">
        <v>11587.49</v>
      </c>
      <c r="J59" s="24">
        <v>4543.57</v>
      </c>
      <c r="K59" s="17">
        <f t="shared" si="6"/>
        <v>0.6078900607465465</v>
      </c>
      <c r="L59" s="24">
        <v>1805.98</v>
      </c>
      <c r="M59" s="17">
        <f t="shared" si="5"/>
        <v>0.15585601368372271</v>
      </c>
      <c r="N59" s="24">
        <v>1688.09</v>
      </c>
      <c r="O59" s="25">
        <v>0</v>
      </c>
      <c r="P59" s="25">
        <v>375</v>
      </c>
      <c r="Q59" s="12"/>
      <c r="R59" s="13"/>
      <c r="S59" s="13"/>
      <c r="T59" s="13"/>
      <c r="U59" s="13"/>
    </row>
    <row r="60" spans="1:21" s="2" customFormat="1" ht="15.75" hidden="1" x14ac:dyDescent="0.25">
      <c r="A60" s="33"/>
      <c r="B60" s="31">
        <f t="shared" si="2"/>
        <v>56</v>
      </c>
      <c r="C60" s="31" t="s">
        <v>31</v>
      </c>
      <c r="D60" s="31" t="s">
        <v>43</v>
      </c>
      <c r="E60" s="31" t="s">
        <v>334</v>
      </c>
      <c r="F60" s="10">
        <v>44321</v>
      </c>
      <c r="G60" s="28" t="s">
        <v>62</v>
      </c>
      <c r="H60" s="31" t="s">
        <v>16</v>
      </c>
      <c r="I60" s="24">
        <v>8063.96</v>
      </c>
      <c r="J60" s="24">
        <v>3703.21</v>
      </c>
      <c r="K60" s="17">
        <f t="shared" si="6"/>
        <v>0.54077029151930311</v>
      </c>
      <c r="L60" s="24">
        <v>1007.14</v>
      </c>
      <c r="M60" s="17">
        <f t="shared" si="5"/>
        <v>0.12489397268835659</v>
      </c>
      <c r="N60" s="24">
        <v>571.86</v>
      </c>
      <c r="O60" s="25">
        <v>0</v>
      </c>
      <c r="P60" s="25">
        <v>260.97000000000003</v>
      </c>
      <c r="Q60" s="12"/>
      <c r="R60" s="13"/>
      <c r="S60" s="13"/>
      <c r="T60" s="13"/>
      <c r="U60" s="13"/>
    </row>
    <row r="61" spans="1:21" s="2" customFormat="1" ht="15.75" hidden="1" x14ac:dyDescent="0.25">
      <c r="A61" s="33"/>
      <c r="B61" s="31">
        <f t="shared" si="2"/>
        <v>57</v>
      </c>
      <c r="C61" s="31" t="s">
        <v>82</v>
      </c>
      <c r="D61" s="31" t="s">
        <v>34</v>
      </c>
      <c r="E61" s="31" t="s">
        <v>97</v>
      </c>
      <c r="F61" s="10">
        <v>44331</v>
      </c>
      <c r="G61" s="28" t="s">
        <v>98</v>
      </c>
      <c r="H61" s="31" t="s">
        <v>13</v>
      </c>
      <c r="I61" s="24">
        <v>3970.95</v>
      </c>
      <c r="J61" s="24">
        <v>1427.31</v>
      </c>
      <c r="K61" s="17">
        <f t="shared" si="6"/>
        <v>0.64056208212140675</v>
      </c>
      <c r="L61" s="24">
        <v>474.62</v>
      </c>
      <c r="M61" s="17">
        <f t="shared" si="5"/>
        <v>0.11952303604930811</v>
      </c>
      <c r="N61" s="24">
        <v>164.35</v>
      </c>
      <c r="O61" s="25">
        <v>50</v>
      </c>
      <c r="P61" s="25">
        <v>129.18</v>
      </c>
      <c r="Q61" s="12"/>
      <c r="R61" s="13"/>
      <c r="S61" s="13"/>
      <c r="T61" s="13"/>
      <c r="U61" s="13"/>
    </row>
    <row r="62" spans="1:21" s="2" customFormat="1" ht="15.75" hidden="1" x14ac:dyDescent="0.25">
      <c r="A62" s="33"/>
      <c r="B62" s="31">
        <f t="shared" si="2"/>
        <v>58</v>
      </c>
      <c r="C62" s="36" t="s">
        <v>115</v>
      </c>
      <c r="D62" s="31" t="s">
        <v>43</v>
      </c>
      <c r="E62" s="31" t="s">
        <v>334</v>
      </c>
      <c r="F62" s="10">
        <v>44340</v>
      </c>
      <c r="G62" s="28" t="s">
        <v>100</v>
      </c>
      <c r="H62" s="31" t="s">
        <v>16</v>
      </c>
      <c r="I62" s="24">
        <v>9843.2999999999993</v>
      </c>
      <c r="J62" s="24">
        <v>4669.38</v>
      </c>
      <c r="K62" s="17">
        <f t="shared" ref="K62:K69" si="7">(I62-J62)/I62</f>
        <v>0.52562860016457891</v>
      </c>
      <c r="L62" s="24">
        <v>1190.3699999999999</v>
      </c>
      <c r="M62" s="17">
        <f t="shared" ref="M62:M69" si="8">L62/I62</f>
        <v>0.12093200451068239</v>
      </c>
      <c r="N62" s="24">
        <v>585.1</v>
      </c>
      <c r="O62" s="25">
        <v>0</v>
      </c>
      <c r="P62" s="25">
        <v>318</v>
      </c>
      <c r="Q62" s="12"/>
      <c r="R62" s="13"/>
      <c r="S62" s="13"/>
      <c r="T62" s="13"/>
      <c r="U62" s="13"/>
    </row>
    <row r="63" spans="1:21" s="2" customFormat="1" ht="15.75" hidden="1" x14ac:dyDescent="0.25">
      <c r="A63" s="33"/>
      <c r="B63" s="31">
        <f t="shared" si="2"/>
        <v>59</v>
      </c>
      <c r="C63" s="31" t="s">
        <v>31</v>
      </c>
      <c r="D63" s="31" t="s">
        <v>43</v>
      </c>
      <c r="E63" s="31" t="s">
        <v>334</v>
      </c>
      <c r="F63" s="10">
        <v>44289</v>
      </c>
      <c r="G63" s="28" t="s">
        <v>101</v>
      </c>
      <c r="H63" s="31" t="s">
        <v>16</v>
      </c>
      <c r="I63" s="24">
        <v>10155.27</v>
      </c>
      <c r="J63" s="24">
        <v>5660.1</v>
      </c>
      <c r="K63" s="17">
        <f t="shared" si="7"/>
        <v>0.44264406559352926</v>
      </c>
      <c r="L63" s="24">
        <v>1042.1600000000001</v>
      </c>
      <c r="M63" s="17">
        <f t="shared" si="8"/>
        <v>0.10262257921256648</v>
      </c>
      <c r="N63" s="24">
        <v>533.49</v>
      </c>
      <c r="O63" s="25">
        <v>0</v>
      </c>
      <c r="P63" s="25">
        <v>328.65</v>
      </c>
      <c r="Q63" s="12"/>
      <c r="R63" s="13"/>
      <c r="S63" s="13"/>
      <c r="T63" s="13"/>
      <c r="U63" s="13"/>
    </row>
    <row r="64" spans="1:21" s="2" customFormat="1" ht="15.75" hidden="1" x14ac:dyDescent="0.25">
      <c r="A64" s="33"/>
      <c r="B64" s="31">
        <f t="shared" si="2"/>
        <v>60</v>
      </c>
      <c r="C64" s="36" t="s">
        <v>115</v>
      </c>
      <c r="D64" s="31" t="s">
        <v>26</v>
      </c>
      <c r="E64" s="31" t="s">
        <v>27</v>
      </c>
      <c r="F64" s="10">
        <v>44336</v>
      </c>
      <c r="G64" s="28" t="s">
        <v>102</v>
      </c>
      <c r="H64" s="31" t="s">
        <v>33</v>
      </c>
      <c r="I64" s="24">
        <v>4912.3599999999997</v>
      </c>
      <c r="J64" s="24">
        <v>1842.73</v>
      </c>
      <c r="K64" s="17">
        <f t="shared" si="7"/>
        <v>0.624878876955272</v>
      </c>
      <c r="L64" s="24">
        <v>580.62</v>
      </c>
      <c r="M64" s="17">
        <f t="shared" si="8"/>
        <v>0.11819573484028044</v>
      </c>
      <c r="N64" s="24">
        <v>203.46</v>
      </c>
      <c r="O64" s="25">
        <v>50</v>
      </c>
      <c r="P64" s="25">
        <v>0</v>
      </c>
      <c r="Q64" s="12"/>
      <c r="R64" s="13"/>
      <c r="S64" s="13"/>
      <c r="T64" s="13"/>
      <c r="U64" s="13"/>
    </row>
    <row r="65" spans="1:21" s="2" customFormat="1" ht="15.75" hidden="1" x14ac:dyDescent="0.25">
      <c r="A65" s="33"/>
      <c r="B65" s="31">
        <f t="shared" si="2"/>
        <v>61</v>
      </c>
      <c r="C65" s="31" t="s">
        <v>31</v>
      </c>
      <c r="D65" s="31" t="s">
        <v>26</v>
      </c>
      <c r="E65" s="31" t="s">
        <v>27</v>
      </c>
      <c r="F65" s="10">
        <v>44327</v>
      </c>
      <c r="G65" s="28" t="s">
        <v>103</v>
      </c>
      <c r="H65" s="31" t="s">
        <v>14</v>
      </c>
      <c r="I65" s="24">
        <v>13515.64</v>
      </c>
      <c r="J65" s="24">
        <v>6355.78</v>
      </c>
      <c r="K65" s="17">
        <f t="shared" si="7"/>
        <v>0.52974627912551686</v>
      </c>
      <c r="L65" s="24">
        <v>1627.66</v>
      </c>
      <c r="M65" s="17">
        <f t="shared" si="8"/>
        <v>0.12042788946731343</v>
      </c>
      <c r="N65" s="24">
        <v>980.74</v>
      </c>
      <c r="O65" s="25">
        <v>0</v>
      </c>
      <c r="P65" s="25">
        <v>218.7</v>
      </c>
      <c r="Q65" s="12"/>
      <c r="R65" s="13"/>
      <c r="S65" s="13"/>
      <c r="T65" s="13"/>
      <c r="U65" s="13"/>
    </row>
    <row r="66" spans="1:21" s="2" customFormat="1" ht="15.75" hidden="1" x14ac:dyDescent="0.25">
      <c r="A66" s="33"/>
      <c r="B66" s="31">
        <f t="shared" si="2"/>
        <v>62</v>
      </c>
      <c r="C66" s="31" t="s">
        <v>31</v>
      </c>
      <c r="D66" s="31" t="s">
        <v>43</v>
      </c>
      <c r="E66" s="31" t="s">
        <v>27</v>
      </c>
      <c r="F66" s="10">
        <v>44305</v>
      </c>
      <c r="G66" s="28" t="s">
        <v>104</v>
      </c>
      <c r="H66" s="31" t="s">
        <v>191</v>
      </c>
      <c r="I66" s="24">
        <v>20160.37</v>
      </c>
      <c r="J66" s="24">
        <v>10303.18</v>
      </c>
      <c r="K66" s="17">
        <f t="shared" si="7"/>
        <v>0.4889389430848739</v>
      </c>
      <c r="L66" s="24">
        <v>1506.09</v>
      </c>
      <c r="M66" s="17">
        <f t="shared" si="8"/>
        <v>7.4705474155484244E-2</v>
      </c>
      <c r="N66" s="34">
        <v>-1473.62</v>
      </c>
      <c r="O66" s="25">
        <v>300</v>
      </c>
      <c r="P66" s="25">
        <v>652.44000000000005</v>
      </c>
      <c r="Q66" s="12"/>
      <c r="R66" s="13"/>
      <c r="S66" s="13"/>
      <c r="T66" s="13"/>
      <c r="U66" s="13"/>
    </row>
    <row r="67" spans="1:21" s="2" customFormat="1" ht="15.75" hidden="1" x14ac:dyDescent="0.25">
      <c r="A67" s="33"/>
      <c r="B67" s="31">
        <f t="shared" si="2"/>
        <v>63</v>
      </c>
      <c r="C67" s="31" t="s">
        <v>31</v>
      </c>
      <c r="D67" s="31" t="s">
        <v>34</v>
      </c>
      <c r="E67" s="31" t="s">
        <v>27</v>
      </c>
      <c r="F67" s="10">
        <v>44232</v>
      </c>
      <c r="G67" s="28" t="s">
        <v>105</v>
      </c>
      <c r="H67" s="31" t="s">
        <v>194</v>
      </c>
      <c r="I67" s="24">
        <v>26438.01</v>
      </c>
      <c r="J67" s="24">
        <v>10242.69</v>
      </c>
      <c r="K67" s="17">
        <f t="shared" si="7"/>
        <v>0.61257711907968859</v>
      </c>
      <c r="L67" s="24">
        <v>3226.78</v>
      </c>
      <c r="M67" s="17">
        <f t="shared" si="8"/>
        <v>0.12205078975308657</v>
      </c>
      <c r="N67" s="24">
        <v>2236.21</v>
      </c>
      <c r="O67" s="25">
        <v>0</v>
      </c>
      <c r="P67" s="25">
        <v>855.6</v>
      </c>
      <c r="Q67" s="12"/>
      <c r="R67" s="13"/>
      <c r="S67" s="13"/>
      <c r="T67" s="13"/>
      <c r="U67" s="13"/>
    </row>
    <row r="68" spans="1:21" s="2" customFormat="1" ht="15.75" hidden="1" x14ac:dyDescent="0.25">
      <c r="A68" s="33"/>
      <c r="B68" s="31">
        <f t="shared" si="2"/>
        <v>64</v>
      </c>
      <c r="C68" s="31" t="s">
        <v>31</v>
      </c>
      <c r="D68" s="31" t="s">
        <v>34</v>
      </c>
      <c r="E68" s="31" t="s">
        <v>27</v>
      </c>
      <c r="F68" s="10">
        <v>44281</v>
      </c>
      <c r="G68" s="28" t="s">
        <v>106</v>
      </c>
      <c r="H68" s="31" t="s">
        <v>195</v>
      </c>
      <c r="I68" s="24">
        <v>21776.13</v>
      </c>
      <c r="J68" s="24">
        <v>9443.4500000000007</v>
      </c>
      <c r="K68" s="17">
        <f t="shared" si="7"/>
        <v>0.56633938169913567</v>
      </c>
      <c r="L68" s="24">
        <v>2085.92</v>
      </c>
      <c r="M68" s="17">
        <f t="shared" si="8"/>
        <v>9.5789288546679327E-2</v>
      </c>
      <c r="N68" s="24">
        <v>49.53</v>
      </c>
      <c r="O68" s="25">
        <v>200</v>
      </c>
      <c r="P68" s="25">
        <v>0</v>
      </c>
      <c r="Q68" s="12"/>
      <c r="R68" s="13"/>
      <c r="S68" s="13"/>
      <c r="T68" s="13"/>
      <c r="U68" s="13"/>
    </row>
    <row r="69" spans="1:21" s="2" customFormat="1" ht="15.75" x14ac:dyDescent="0.25">
      <c r="A69" s="33"/>
      <c r="B69" s="31">
        <f t="shared" si="2"/>
        <v>65</v>
      </c>
      <c r="C69" s="31" t="s">
        <v>107</v>
      </c>
      <c r="D69" s="31" t="s">
        <v>26</v>
      </c>
      <c r="E69" s="31" t="s">
        <v>27</v>
      </c>
      <c r="F69" s="10">
        <v>44298</v>
      </c>
      <c r="G69" s="28" t="s">
        <v>108</v>
      </c>
      <c r="H69" s="31" t="s">
        <v>195</v>
      </c>
      <c r="I69" s="24">
        <v>35627.910000000003</v>
      </c>
      <c r="J69" s="24">
        <v>13791.5</v>
      </c>
      <c r="K69" s="17">
        <f t="shared" si="7"/>
        <v>0.61290179524984767</v>
      </c>
      <c r="L69" s="24">
        <v>5103.5600000000004</v>
      </c>
      <c r="M69" s="17">
        <f t="shared" si="8"/>
        <v>0.14324612361488506</v>
      </c>
      <c r="N69" s="24">
        <v>4511.51</v>
      </c>
      <c r="O69" s="25">
        <v>0</v>
      </c>
      <c r="P69" s="25">
        <v>1149</v>
      </c>
      <c r="Q69" s="12"/>
      <c r="R69" s="13"/>
      <c r="S69" s="13"/>
      <c r="T69" s="13"/>
      <c r="U69" s="13"/>
    </row>
    <row r="70" spans="1:21" s="2" customFormat="1" ht="15.75" hidden="1" x14ac:dyDescent="0.25">
      <c r="A70" s="33"/>
      <c r="B70" s="31">
        <f t="shared" si="2"/>
        <v>66</v>
      </c>
      <c r="C70" s="31" t="s">
        <v>31</v>
      </c>
      <c r="D70" s="31" t="s">
        <v>34</v>
      </c>
      <c r="E70" s="31" t="s">
        <v>27</v>
      </c>
      <c r="F70" s="10">
        <v>44328</v>
      </c>
      <c r="G70" s="28" t="s">
        <v>109</v>
      </c>
      <c r="H70" s="31" t="s">
        <v>189</v>
      </c>
      <c r="I70" s="24">
        <v>30000</v>
      </c>
      <c r="J70" s="24">
        <v>17321.13</v>
      </c>
      <c r="K70" s="17">
        <f t="shared" ref="K70:K108" si="9">(I70-J70)/I70</f>
        <v>0.42262899999999998</v>
      </c>
      <c r="L70" s="24">
        <v>1347.41</v>
      </c>
      <c r="M70" s="17">
        <f t="shared" ref="M70:M108" si="10">L70/I70</f>
        <v>4.4913666666666671E-2</v>
      </c>
      <c r="N70" s="34">
        <v>-3546.1</v>
      </c>
      <c r="O70" s="25">
        <v>0</v>
      </c>
      <c r="P70" s="25">
        <v>0</v>
      </c>
      <c r="Q70" s="12"/>
      <c r="R70" s="13"/>
      <c r="S70" s="13"/>
      <c r="T70" s="13"/>
      <c r="U70" s="13"/>
    </row>
    <row r="71" spans="1:21" s="2" customFormat="1" ht="15.75" hidden="1" x14ac:dyDescent="0.25">
      <c r="A71" s="33"/>
      <c r="B71" s="31">
        <f t="shared" ref="B71:B148" si="11">B70+1</f>
        <v>67</v>
      </c>
      <c r="C71" s="31" t="s">
        <v>31</v>
      </c>
      <c r="D71" s="31" t="s">
        <v>99</v>
      </c>
      <c r="E71" s="31" t="s">
        <v>335</v>
      </c>
      <c r="F71" s="10">
        <v>44228</v>
      </c>
      <c r="G71" s="28" t="s">
        <v>111</v>
      </c>
      <c r="H71" s="31" t="s">
        <v>16</v>
      </c>
      <c r="I71" s="24">
        <v>9733.49</v>
      </c>
      <c r="J71" s="24">
        <v>4887.58</v>
      </c>
      <c r="K71" s="17">
        <f t="shared" si="9"/>
        <v>0.49785945226224099</v>
      </c>
      <c r="L71" s="24">
        <v>1330.62</v>
      </c>
      <c r="M71" s="17">
        <f t="shared" si="10"/>
        <v>0.13670533385250305</v>
      </c>
      <c r="N71" s="24">
        <v>963.19</v>
      </c>
      <c r="O71" s="25">
        <v>0</v>
      </c>
      <c r="P71" s="25">
        <v>315</v>
      </c>
      <c r="Q71" s="12"/>
      <c r="R71" s="13"/>
      <c r="S71" s="13"/>
      <c r="T71" s="13"/>
      <c r="U71" s="13"/>
    </row>
    <row r="72" spans="1:21" s="2" customFormat="1" ht="15.75" hidden="1" x14ac:dyDescent="0.25">
      <c r="A72" s="33"/>
      <c r="B72" s="31">
        <f t="shared" si="11"/>
        <v>68</v>
      </c>
      <c r="C72" s="31" t="s">
        <v>82</v>
      </c>
      <c r="D72" s="31" t="s">
        <v>99</v>
      </c>
      <c r="E72" s="31" t="s">
        <v>334</v>
      </c>
      <c r="F72" s="10">
        <v>44266</v>
      </c>
      <c r="G72" s="28" t="s">
        <v>112</v>
      </c>
      <c r="H72" s="31" t="s">
        <v>18</v>
      </c>
      <c r="I72" s="24">
        <v>56714.7</v>
      </c>
      <c r="J72" s="24">
        <v>30733.23</v>
      </c>
      <c r="K72" s="17">
        <f t="shared" si="9"/>
        <v>0.45810821533041696</v>
      </c>
      <c r="L72" s="24">
        <v>5017.37</v>
      </c>
      <c r="M72" s="17">
        <f t="shared" si="10"/>
        <v>8.8466834877024836E-2</v>
      </c>
      <c r="N72" s="24">
        <v>667.8</v>
      </c>
      <c r="O72" s="25">
        <v>0</v>
      </c>
      <c r="P72" s="25">
        <v>184.5</v>
      </c>
      <c r="Q72" s="12"/>
      <c r="R72" s="13"/>
      <c r="S72" s="13"/>
      <c r="T72" s="13"/>
      <c r="U72" s="13"/>
    </row>
    <row r="73" spans="1:21" s="2" customFormat="1" ht="15.75" hidden="1" x14ac:dyDescent="0.25">
      <c r="A73" s="33"/>
      <c r="B73" s="31">
        <f t="shared" si="11"/>
        <v>69</v>
      </c>
      <c r="C73" s="31" t="s">
        <v>31</v>
      </c>
      <c r="D73" s="31" t="s">
        <v>34</v>
      </c>
      <c r="E73" s="31" t="s">
        <v>27</v>
      </c>
      <c r="F73" s="10">
        <v>44307</v>
      </c>
      <c r="G73" s="28" t="s">
        <v>113</v>
      </c>
      <c r="H73" s="31" t="s">
        <v>14</v>
      </c>
      <c r="I73" s="24">
        <v>15376.13</v>
      </c>
      <c r="J73" s="24">
        <v>7443.02</v>
      </c>
      <c r="K73" s="17">
        <f t="shared" si="9"/>
        <v>0.51593671489510029</v>
      </c>
      <c r="L73" s="24">
        <v>931.38</v>
      </c>
      <c r="M73" s="17">
        <f t="shared" si="10"/>
        <v>6.0573109098323183E-2</v>
      </c>
      <c r="N73" s="34">
        <v>-864.57</v>
      </c>
      <c r="O73" s="25">
        <v>0</v>
      </c>
      <c r="P73" s="25">
        <v>497.61</v>
      </c>
      <c r="Q73" s="12"/>
      <c r="R73" s="13"/>
      <c r="S73" s="13"/>
      <c r="T73" s="13"/>
      <c r="U73" s="13"/>
    </row>
    <row r="74" spans="1:21" s="2" customFormat="1" ht="15.75" hidden="1" x14ac:dyDescent="0.25">
      <c r="A74" s="33"/>
      <c r="B74" s="31">
        <f t="shared" si="11"/>
        <v>70</v>
      </c>
      <c r="C74" s="31" t="s">
        <v>31</v>
      </c>
      <c r="D74" s="31" t="s">
        <v>34</v>
      </c>
      <c r="E74" s="31" t="s">
        <v>27</v>
      </c>
      <c r="F74" s="10">
        <v>44310</v>
      </c>
      <c r="G74" s="28" t="s">
        <v>110</v>
      </c>
      <c r="H74" s="31" t="s">
        <v>14</v>
      </c>
      <c r="I74" s="24">
        <v>9514.31</v>
      </c>
      <c r="J74" s="24">
        <v>5476.33</v>
      </c>
      <c r="K74" s="17">
        <f t="shared" si="9"/>
        <v>0.42441122898034644</v>
      </c>
      <c r="L74" s="24">
        <v>587.26</v>
      </c>
      <c r="M74" s="17">
        <f t="shared" si="10"/>
        <v>6.1723866470611115E-2</v>
      </c>
      <c r="N74" s="34">
        <v>-236.69</v>
      </c>
      <c r="O74" s="25">
        <v>0</v>
      </c>
      <c r="P74" s="25">
        <v>45</v>
      </c>
      <c r="Q74" s="12"/>
      <c r="R74" s="13"/>
      <c r="S74" s="13"/>
      <c r="T74" s="13"/>
      <c r="U74" s="13"/>
    </row>
    <row r="75" spans="1:21" s="2" customFormat="1" ht="15.75" hidden="1" x14ac:dyDescent="0.25">
      <c r="A75" s="33"/>
      <c r="B75" s="31">
        <f t="shared" si="11"/>
        <v>71</v>
      </c>
      <c r="C75" s="31" t="s">
        <v>31</v>
      </c>
      <c r="D75" s="31" t="s">
        <v>43</v>
      </c>
      <c r="E75" s="31" t="s">
        <v>335</v>
      </c>
      <c r="F75" s="10">
        <v>44292</v>
      </c>
      <c r="G75" s="28" t="s">
        <v>114</v>
      </c>
      <c r="H75" s="31" t="s">
        <v>16</v>
      </c>
      <c r="I75" s="24">
        <v>11352.95</v>
      </c>
      <c r="J75" s="24">
        <v>6709.33</v>
      </c>
      <c r="K75" s="17">
        <f t="shared" si="9"/>
        <v>0.40902320542237924</v>
      </c>
      <c r="L75" s="24">
        <v>712.12</v>
      </c>
      <c r="M75" s="17">
        <f t="shared" si="10"/>
        <v>6.272554710449707E-2</v>
      </c>
      <c r="N75" s="34">
        <v>-1237.95</v>
      </c>
      <c r="O75" s="25">
        <v>100</v>
      </c>
      <c r="P75" s="25">
        <v>0</v>
      </c>
      <c r="Q75" s="12"/>
      <c r="R75" s="13"/>
      <c r="S75" s="13"/>
      <c r="T75" s="13"/>
      <c r="U75" s="13"/>
    </row>
    <row r="76" spans="1:21" s="2" customFormat="1" ht="15.75" hidden="1" x14ac:dyDescent="0.25">
      <c r="A76" s="33"/>
      <c r="B76" s="31">
        <f t="shared" si="11"/>
        <v>72</v>
      </c>
      <c r="C76" s="31" t="s">
        <v>115</v>
      </c>
      <c r="D76" s="31" t="s">
        <v>34</v>
      </c>
      <c r="E76" s="31" t="s">
        <v>97</v>
      </c>
      <c r="F76" s="10">
        <v>44348</v>
      </c>
      <c r="G76" s="28" t="s">
        <v>116</v>
      </c>
      <c r="H76" s="31" t="s">
        <v>13</v>
      </c>
      <c r="I76" s="24">
        <v>3610.45</v>
      </c>
      <c r="J76" s="24">
        <v>1833.1</v>
      </c>
      <c r="K76" s="17">
        <f t="shared" si="9"/>
        <v>0.49227935575897741</v>
      </c>
      <c r="L76" s="24">
        <v>324.5</v>
      </c>
      <c r="M76" s="17">
        <f t="shared" si="10"/>
        <v>8.9877993047958016E-2</v>
      </c>
      <c r="N76" s="34">
        <v>-396.35</v>
      </c>
      <c r="O76" s="25">
        <v>150</v>
      </c>
      <c r="P76" s="25">
        <v>116.64</v>
      </c>
      <c r="Q76" s="12"/>
      <c r="R76" s="13"/>
      <c r="S76" s="13"/>
      <c r="T76" s="13"/>
      <c r="U76" s="13"/>
    </row>
    <row r="77" spans="1:21" s="2" customFormat="1" ht="15.75" hidden="1" x14ac:dyDescent="0.25">
      <c r="A77" s="33"/>
      <c r="B77" s="31">
        <f t="shared" si="11"/>
        <v>73</v>
      </c>
      <c r="C77" s="31" t="s">
        <v>31</v>
      </c>
      <c r="D77" s="31" t="s">
        <v>43</v>
      </c>
      <c r="E77" s="31" t="s">
        <v>27</v>
      </c>
      <c r="F77" s="10">
        <v>44294</v>
      </c>
      <c r="G77" s="28" t="s">
        <v>117</v>
      </c>
      <c r="H77" s="31" t="s">
        <v>14</v>
      </c>
      <c r="I77" s="24">
        <v>10938.59</v>
      </c>
      <c r="J77" s="24">
        <v>6142.55</v>
      </c>
      <c r="K77" s="17">
        <f t="shared" si="9"/>
        <v>0.43845139090138674</v>
      </c>
      <c r="L77" s="24">
        <v>827.59</v>
      </c>
      <c r="M77" s="17">
        <f t="shared" si="10"/>
        <v>7.5657831585240878E-2</v>
      </c>
      <c r="N77" s="24">
        <v>78.790000000000006</v>
      </c>
      <c r="O77" s="25">
        <v>0</v>
      </c>
      <c r="P77" s="25">
        <v>354</v>
      </c>
      <c r="Q77" s="12"/>
      <c r="R77" s="13"/>
      <c r="S77" s="13"/>
      <c r="T77" s="13"/>
      <c r="U77" s="13"/>
    </row>
    <row r="78" spans="1:21" s="2" customFormat="1" ht="15.75" hidden="1" x14ac:dyDescent="0.25">
      <c r="A78" s="33"/>
      <c r="B78" s="31">
        <f t="shared" si="11"/>
        <v>74</v>
      </c>
      <c r="C78" s="31" t="s">
        <v>31</v>
      </c>
      <c r="D78" s="31" t="s">
        <v>89</v>
      </c>
      <c r="E78" s="31" t="s">
        <v>334</v>
      </c>
      <c r="F78" s="10">
        <v>44209</v>
      </c>
      <c r="G78" s="28" t="s">
        <v>118</v>
      </c>
      <c r="H78" s="31" t="s">
        <v>333</v>
      </c>
      <c r="I78" s="24">
        <v>30172.89</v>
      </c>
      <c r="J78" s="24">
        <v>13054.46</v>
      </c>
      <c r="K78" s="17">
        <f t="shared" si="9"/>
        <v>0.56734472567924388</v>
      </c>
      <c r="L78" s="24">
        <v>4542.4799999999996</v>
      </c>
      <c r="M78" s="17">
        <f t="shared" si="10"/>
        <v>0.15054838963055908</v>
      </c>
      <c r="N78" s="24">
        <v>3882.99</v>
      </c>
      <c r="O78" s="25">
        <v>0</v>
      </c>
      <c r="P78" s="25">
        <v>464.64</v>
      </c>
      <c r="Q78" s="12"/>
      <c r="R78" s="13"/>
      <c r="S78" s="13"/>
      <c r="T78" s="13"/>
      <c r="U78" s="13"/>
    </row>
    <row r="79" spans="1:21" s="2" customFormat="1" ht="15.75" hidden="1" x14ac:dyDescent="0.25">
      <c r="A79" s="33"/>
      <c r="B79" s="31">
        <f t="shared" si="11"/>
        <v>75</v>
      </c>
      <c r="C79" s="31" t="s">
        <v>119</v>
      </c>
      <c r="D79" s="31" t="s">
        <v>34</v>
      </c>
      <c r="E79" s="31" t="s">
        <v>27</v>
      </c>
      <c r="F79" s="10">
        <v>44207</v>
      </c>
      <c r="G79" s="28" t="s">
        <v>120</v>
      </c>
      <c r="H79" s="31" t="s">
        <v>195</v>
      </c>
      <c r="I79" s="24">
        <v>36746.89</v>
      </c>
      <c r="J79" s="24">
        <v>16165.67</v>
      </c>
      <c r="K79" s="17">
        <f t="shared" si="9"/>
        <v>0.56008059457548653</v>
      </c>
      <c r="L79" s="24">
        <v>3687.19</v>
      </c>
      <c r="M79" s="17">
        <f t="shared" si="10"/>
        <v>0.10034019205434801</v>
      </c>
      <c r="N79" s="24">
        <v>1658.69</v>
      </c>
      <c r="O79" s="25">
        <v>400</v>
      </c>
      <c r="P79" s="25">
        <v>600</v>
      </c>
      <c r="Q79" s="12"/>
      <c r="R79" s="13"/>
      <c r="S79" s="13"/>
      <c r="T79" s="13"/>
      <c r="U79" s="13"/>
    </row>
    <row r="80" spans="1:21" s="2" customFormat="1" ht="15.75" hidden="1" x14ac:dyDescent="0.25">
      <c r="A80" s="33"/>
      <c r="B80" s="31">
        <f t="shared" si="11"/>
        <v>76</v>
      </c>
      <c r="C80" s="31" t="s">
        <v>115</v>
      </c>
      <c r="D80" s="31" t="s">
        <v>34</v>
      </c>
      <c r="E80" s="31" t="s">
        <v>97</v>
      </c>
      <c r="F80" s="10">
        <v>44346</v>
      </c>
      <c r="G80" s="28" t="s">
        <v>62</v>
      </c>
      <c r="H80" s="31" t="s">
        <v>13</v>
      </c>
      <c r="I80" s="24">
        <v>2180.81</v>
      </c>
      <c r="J80" s="24">
        <v>960.16</v>
      </c>
      <c r="K80" s="17">
        <f t="shared" si="9"/>
        <v>0.55972322210554804</v>
      </c>
      <c r="L80" s="24">
        <v>134.26</v>
      </c>
      <c r="M80" s="17">
        <f t="shared" si="10"/>
        <v>6.1564281161586749E-2</v>
      </c>
      <c r="N80" s="24">
        <v>47.67</v>
      </c>
      <c r="O80" s="25">
        <v>0</v>
      </c>
      <c r="P80" s="25">
        <v>0</v>
      </c>
      <c r="Q80" s="12"/>
      <c r="R80" s="13"/>
      <c r="S80" s="13"/>
      <c r="T80" s="13"/>
      <c r="U80" s="13"/>
    </row>
    <row r="81" spans="1:21" s="2" customFormat="1" ht="15.75" hidden="1" x14ac:dyDescent="0.25">
      <c r="A81" s="33"/>
      <c r="B81" s="31">
        <f t="shared" si="11"/>
        <v>77</v>
      </c>
      <c r="C81" s="31" t="s">
        <v>31</v>
      </c>
      <c r="D81" s="31" t="s">
        <v>43</v>
      </c>
      <c r="E81" s="31" t="s">
        <v>335</v>
      </c>
      <c r="F81" s="10">
        <v>44327</v>
      </c>
      <c r="G81" s="28" t="s">
        <v>121</v>
      </c>
      <c r="H81" s="31" t="s">
        <v>16</v>
      </c>
      <c r="I81" s="24">
        <v>8250.2900000000009</v>
      </c>
      <c r="J81" s="24">
        <v>4624.78</v>
      </c>
      <c r="K81" s="17">
        <f t="shared" si="9"/>
        <v>0.43944031058302202</v>
      </c>
      <c r="L81" s="24">
        <v>711.1</v>
      </c>
      <c r="M81" s="17">
        <f t="shared" si="10"/>
        <v>8.6190909652872807E-2</v>
      </c>
      <c r="N81" s="34">
        <v>-214.81</v>
      </c>
      <c r="O81" s="25">
        <v>0</v>
      </c>
      <c r="P81" s="25">
        <v>267</v>
      </c>
      <c r="Q81" s="12"/>
      <c r="R81" s="13"/>
      <c r="S81" s="13"/>
      <c r="T81" s="13"/>
      <c r="U81" s="13"/>
    </row>
    <row r="82" spans="1:21" s="2" customFormat="1" ht="15.75" hidden="1" x14ac:dyDescent="0.25">
      <c r="A82" s="33"/>
      <c r="B82" s="31">
        <f t="shared" si="11"/>
        <v>78</v>
      </c>
      <c r="C82" s="31" t="s">
        <v>31</v>
      </c>
      <c r="D82" s="31" t="s">
        <v>99</v>
      </c>
      <c r="E82" s="31" t="s">
        <v>334</v>
      </c>
      <c r="F82" s="10">
        <v>44306</v>
      </c>
      <c r="G82" s="28" t="s">
        <v>122</v>
      </c>
      <c r="H82" s="31" t="s">
        <v>333</v>
      </c>
      <c r="I82" s="24">
        <v>13626.88</v>
      </c>
      <c r="J82" s="24">
        <v>6877.75</v>
      </c>
      <c r="K82" s="17">
        <f t="shared" si="9"/>
        <v>0.49528065118354309</v>
      </c>
      <c r="L82" s="24">
        <v>1449.2</v>
      </c>
      <c r="M82" s="17">
        <f t="shared" si="10"/>
        <v>0.10634862859289874</v>
      </c>
      <c r="N82" s="24">
        <v>286.27999999999997</v>
      </c>
      <c r="O82" s="25">
        <v>0</v>
      </c>
      <c r="P82" s="25">
        <v>0</v>
      </c>
      <c r="Q82" s="12"/>
      <c r="R82" s="13"/>
      <c r="S82" s="13"/>
      <c r="T82" s="13"/>
      <c r="U82" s="13"/>
    </row>
    <row r="83" spans="1:21" s="2" customFormat="1" ht="15.75" hidden="1" x14ac:dyDescent="0.25">
      <c r="A83" s="33"/>
      <c r="B83" s="31">
        <f t="shared" si="11"/>
        <v>79</v>
      </c>
      <c r="C83" s="31" t="s">
        <v>115</v>
      </c>
      <c r="D83" s="31" t="s">
        <v>99</v>
      </c>
      <c r="E83" s="31" t="s">
        <v>334</v>
      </c>
      <c r="F83" s="10">
        <v>44293</v>
      </c>
      <c r="G83" s="28" t="s">
        <v>123</v>
      </c>
      <c r="H83" s="31" t="s">
        <v>18</v>
      </c>
      <c r="I83" s="24">
        <v>34326.959999999999</v>
      </c>
      <c r="J83" s="24">
        <v>16985.939999999999</v>
      </c>
      <c r="K83" s="17">
        <f t="shared" si="9"/>
        <v>0.50517202805025552</v>
      </c>
      <c r="L83" s="24">
        <v>3643.3</v>
      </c>
      <c r="M83" s="17">
        <f t="shared" si="10"/>
        <v>0.1061352359777854</v>
      </c>
      <c r="N83" s="24">
        <v>1689.68</v>
      </c>
      <c r="O83" s="25">
        <v>0</v>
      </c>
      <c r="P83" s="25">
        <v>0</v>
      </c>
      <c r="Q83" s="12"/>
      <c r="R83" s="13"/>
      <c r="S83" s="13"/>
      <c r="T83" s="13"/>
      <c r="U83" s="13"/>
    </row>
    <row r="84" spans="1:21" s="2" customFormat="1" ht="15.75" hidden="1" x14ac:dyDescent="0.25">
      <c r="A84" s="33"/>
      <c r="B84" s="31">
        <f t="shared" si="11"/>
        <v>80</v>
      </c>
      <c r="C84" s="31" t="s">
        <v>119</v>
      </c>
      <c r="D84" s="31" t="s">
        <v>26</v>
      </c>
      <c r="E84" s="31" t="s">
        <v>27</v>
      </c>
      <c r="F84" s="10">
        <v>44288</v>
      </c>
      <c r="G84" s="28" t="s">
        <v>124</v>
      </c>
      <c r="H84" s="31" t="s">
        <v>223</v>
      </c>
      <c r="I84" s="24">
        <v>6717.28</v>
      </c>
      <c r="J84" s="24">
        <v>2767.55</v>
      </c>
      <c r="K84" s="17">
        <f t="shared" si="9"/>
        <v>0.58799543862992154</v>
      </c>
      <c r="L84" s="24">
        <v>934.1</v>
      </c>
      <c r="M84" s="17">
        <f t="shared" si="10"/>
        <v>0.1390592620822714</v>
      </c>
      <c r="N84" s="24">
        <v>705.67</v>
      </c>
      <c r="O84" s="25">
        <v>0</v>
      </c>
      <c r="P84" s="25">
        <v>0</v>
      </c>
      <c r="Q84" s="12"/>
      <c r="R84" s="13"/>
      <c r="S84" s="13"/>
      <c r="T84" s="13"/>
      <c r="U84" s="13"/>
    </row>
    <row r="85" spans="1:21" s="2" customFormat="1" ht="15.75" hidden="1" x14ac:dyDescent="0.25">
      <c r="A85" s="33"/>
      <c r="B85" s="31">
        <f t="shared" si="11"/>
        <v>81</v>
      </c>
      <c r="C85" s="31" t="s">
        <v>31</v>
      </c>
      <c r="D85" s="31" t="s">
        <v>99</v>
      </c>
      <c r="E85" s="31" t="s">
        <v>334</v>
      </c>
      <c r="F85" s="10">
        <v>44278</v>
      </c>
      <c r="G85" s="28" t="s">
        <v>125</v>
      </c>
      <c r="H85" s="31" t="s">
        <v>18</v>
      </c>
      <c r="I85" s="24">
        <v>37941.14</v>
      </c>
      <c r="J85" s="24">
        <v>16388.73</v>
      </c>
      <c r="K85" s="17">
        <f t="shared" si="9"/>
        <v>0.56804856153505145</v>
      </c>
      <c r="L85" s="24">
        <v>5657.67</v>
      </c>
      <c r="M85" s="17">
        <f t="shared" si="10"/>
        <v>0.14911702705822757</v>
      </c>
      <c r="N85" s="24">
        <v>4888.6400000000003</v>
      </c>
      <c r="O85" s="25">
        <v>0</v>
      </c>
      <c r="P85" s="25">
        <v>0</v>
      </c>
      <c r="Q85" s="12"/>
      <c r="R85" s="13"/>
      <c r="S85" s="13"/>
      <c r="T85" s="13"/>
      <c r="U85" s="13"/>
    </row>
    <row r="86" spans="1:21" s="2" customFormat="1" ht="15.75" hidden="1" x14ac:dyDescent="0.25">
      <c r="A86" s="33"/>
      <c r="B86" s="31">
        <f t="shared" si="11"/>
        <v>82</v>
      </c>
      <c r="C86" s="31" t="s">
        <v>31</v>
      </c>
      <c r="D86" s="31" t="s">
        <v>99</v>
      </c>
      <c r="E86" s="31" t="s">
        <v>334</v>
      </c>
      <c r="F86" s="10">
        <v>44250</v>
      </c>
      <c r="G86" s="28" t="s">
        <v>126</v>
      </c>
      <c r="H86" s="31" t="s">
        <v>18</v>
      </c>
      <c r="I86" s="24">
        <v>23812.89</v>
      </c>
      <c r="J86" s="24">
        <v>13049.28</v>
      </c>
      <c r="K86" s="17">
        <f t="shared" si="9"/>
        <v>0.45200771514923216</v>
      </c>
      <c r="L86" s="24">
        <v>1988.16</v>
      </c>
      <c r="M86" s="17">
        <f t="shared" si="10"/>
        <v>8.3490916054288253E-2</v>
      </c>
      <c r="N86" s="34">
        <v>-10.31</v>
      </c>
      <c r="O86" s="25">
        <v>0</v>
      </c>
      <c r="P86" s="25">
        <v>0</v>
      </c>
      <c r="Q86" s="12"/>
      <c r="R86" s="13"/>
      <c r="S86" s="13"/>
      <c r="T86" s="13"/>
      <c r="U86" s="13"/>
    </row>
    <row r="87" spans="1:21" s="2" customFormat="1" ht="15.75" hidden="1" x14ac:dyDescent="0.25">
      <c r="A87" s="33"/>
      <c r="B87" s="31">
        <f t="shared" si="11"/>
        <v>83</v>
      </c>
      <c r="C87" s="31" t="s">
        <v>127</v>
      </c>
      <c r="D87" s="31" t="s">
        <v>34</v>
      </c>
      <c r="E87" s="31" t="s">
        <v>27</v>
      </c>
      <c r="F87" s="10">
        <v>44359</v>
      </c>
      <c r="G87" s="28" t="s">
        <v>128</v>
      </c>
      <c r="H87" s="31" t="s">
        <v>19</v>
      </c>
      <c r="I87" s="24">
        <v>6593.97</v>
      </c>
      <c r="J87" s="24">
        <v>2858.06</v>
      </c>
      <c r="K87" s="17">
        <f t="shared" si="9"/>
        <v>0.5665646037212787</v>
      </c>
      <c r="L87" s="24">
        <v>717.39</v>
      </c>
      <c r="M87" s="17">
        <f t="shared" si="10"/>
        <v>0.10879485347977015</v>
      </c>
      <c r="N87" s="34">
        <v>-0.03</v>
      </c>
      <c r="O87" s="25">
        <v>100</v>
      </c>
      <c r="P87" s="25">
        <v>106.98</v>
      </c>
      <c r="Q87" s="12"/>
      <c r="R87" s="13"/>
      <c r="S87" s="13"/>
      <c r="T87" s="13"/>
      <c r="U87" s="13"/>
    </row>
    <row r="88" spans="1:21" s="2" customFormat="1" ht="15.75" hidden="1" x14ac:dyDescent="0.25">
      <c r="A88" s="33"/>
      <c r="B88" s="31">
        <f t="shared" si="11"/>
        <v>84</v>
      </c>
      <c r="C88" s="31" t="s">
        <v>31</v>
      </c>
      <c r="D88" s="31" t="s">
        <v>26</v>
      </c>
      <c r="E88" s="31" t="s">
        <v>27</v>
      </c>
      <c r="F88" s="10">
        <v>44201</v>
      </c>
      <c r="G88" s="28" t="s">
        <v>129</v>
      </c>
      <c r="H88" s="31" t="s">
        <v>193</v>
      </c>
      <c r="I88" s="24">
        <v>46998.84</v>
      </c>
      <c r="J88" s="24">
        <v>22698.48</v>
      </c>
      <c r="K88" s="17">
        <f t="shared" si="9"/>
        <v>0.51704169719933513</v>
      </c>
      <c r="L88" s="24">
        <v>3238.54</v>
      </c>
      <c r="M88" s="17">
        <f t="shared" si="10"/>
        <v>6.8906807061621098E-2</v>
      </c>
      <c r="N88" s="34">
        <v>-1354.36</v>
      </c>
      <c r="O88" s="25">
        <v>500</v>
      </c>
      <c r="P88" s="25">
        <v>70.5</v>
      </c>
      <c r="Q88" s="12"/>
      <c r="R88" s="13"/>
      <c r="S88" s="13"/>
      <c r="T88" s="13"/>
      <c r="U88" s="13"/>
    </row>
    <row r="89" spans="1:21" s="2" customFormat="1" ht="15.75" hidden="1" x14ac:dyDescent="0.25">
      <c r="A89" s="33"/>
      <c r="B89" s="31">
        <f t="shared" si="11"/>
        <v>85</v>
      </c>
      <c r="C89" s="31" t="s">
        <v>31</v>
      </c>
      <c r="D89" s="31" t="s">
        <v>34</v>
      </c>
      <c r="E89" s="31" t="s">
        <v>27</v>
      </c>
      <c r="F89" s="10">
        <v>44364</v>
      </c>
      <c r="G89" s="28" t="s">
        <v>130</v>
      </c>
      <c r="H89" s="31" t="s">
        <v>19</v>
      </c>
      <c r="I89" s="24">
        <v>13777.06</v>
      </c>
      <c r="J89" s="24">
        <v>5739.49</v>
      </c>
      <c r="K89" s="17">
        <f t="shared" si="9"/>
        <v>0.58340240951262456</v>
      </c>
      <c r="L89" s="24">
        <v>1680.53</v>
      </c>
      <c r="M89" s="17">
        <f t="shared" si="10"/>
        <v>0.12198030639338146</v>
      </c>
      <c r="N89" s="24">
        <v>862.06</v>
      </c>
      <c r="O89" s="25">
        <v>0</v>
      </c>
      <c r="P89" s="25">
        <v>0</v>
      </c>
      <c r="Q89" s="12"/>
      <c r="R89" s="13"/>
      <c r="S89" s="13"/>
      <c r="T89" s="13"/>
      <c r="U89" s="13"/>
    </row>
    <row r="90" spans="1:21" s="2" customFormat="1" ht="15.75" hidden="1" x14ac:dyDescent="0.25">
      <c r="A90" s="33"/>
      <c r="B90" s="31">
        <f t="shared" si="11"/>
        <v>86</v>
      </c>
      <c r="C90" s="31" t="s">
        <v>131</v>
      </c>
      <c r="D90" s="31" t="s">
        <v>26</v>
      </c>
      <c r="E90" s="31" t="s">
        <v>97</v>
      </c>
      <c r="F90" s="10">
        <v>44323</v>
      </c>
      <c r="G90" s="28" t="s">
        <v>132</v>
      </c>
      <c r="H90" s="31" t="s">
        <v>20</v>
      </c>
      <c r="I90" s="24">
        <v>9318.58</v>
      </c>
      <c r="J90" s="24">
        <v>4548.1400000000003</v>
      </c>
      <c r="K90" s="17">
        <f t="shared" si="9"/>
        <v>0.51192778298839514</v>
      </c>
      <c r="L90" s="24">
        <v>921.47</v>
      </c>
      <c r="M90" s="17">
        <f t="shared" si="10"/>
        <v>9.8885237879591095E-2</v>
      </c>
      <c r="N90" s="24">
        <v>61.78</v>
      </c>
      <c r="O90" s="25">
        <v>100</v>
      </c>
      <c r="P90" s="25">
        <v>300</v>
      </c>
      <c r="Q90" s="12"/>
      <c r="R90" s="13"/>
      <c r="S90" s="13"/>
      <c r="T90" s="13"/>
      <c r="U90" s="13"/>
    </row>
    <row r="91" spans="1:21" s="2" customFormat="1" ht="15.75" hidden="1" x14ac:dyDescent="0.25">
      <c r="A91" s="33"/>
      <c r="B91" s="31">
        <f t="shared" si="11"/>
        <v>87</v>
      </c>
      <c r="C91" s="31" t="s">
        <v>31</v>
      </c>
      <c r="D91" s="31" t="s">
        <v>34</v>
      </c>
      <c r="E91" s="31" t="s">
        <v>97</v>
      </c>
      <c r="F91" s="10">
        <v>44300</v>
      </c>
      <c r="G91" s="28" t="s">
        <v>133</v>
      </c>
      <c r="H91" s="31" t="s">
        <v>13</v>
      </c>
      <c r="I91" s="24">
        <v>8963.15</v>
      </c>
      <c r="J91" s="24">
        <v>4773.08</v>
      </c>
      <c r="K91" s="17">
        <f t="shared" si="9"/>
        <v>0.46747739355025852</v>
      </c>
      <c r="L91" s="24">
        <v>691.68</v>
      </c>
      <c r="M91" s="17">
        <f t="shared" si="10"/>
        <v>7.7169298739840339E-2</v>
      </c>
      <c r="N91" s="34">
        <v>-700.35</v>
      </c>
      <c r="O91" s="25">
        <v>100</v>
      </c>
      <c r="P91" s="25">
        <v>290.07</v>
      </c>
      <c r="Q91" s="12"/>
      <c r="R91" s="13"/>
      <c r="S91" s="13"/>
      <c r="T91" s="13"/>
      <c r="U91" s="13"/>
    </row>
    <row r="92" spans="1:21" s="2" customFormat="1" ht="15.75" hidden="1" x14ac:dyDescent="0.25">
      <c r="A92" s="33"/>
      <c r="B92" s="31">
        <f t="shared" si="11"/>
        <v>88</v>
      </c>
      <c r="C92" s="31" t="s">
        <v>82</v>
      </c>
      <c r="D92" s="31" t="s">
        <v>34</v>
      </c>
      <c r="E92" s="31" t="s">
        <v>45</v>
      </c>
      <c r="F92" s="10">
        <v>44202</v>
      </c>
      <c r="G92" s="28" t="s">
        <v>134</v>
      </c>
      <c r="H92" s="31" t="s">
        <v>13</v>
      </c>
      <c r="I92" s="24">
        <v>24776.48</v>
      </c>
      <c r="J92" s="24">
        <v>17186.310000000001</v>
      </c>
      <c r="K92" s="17">
        <f t="shared" si="9"/>
        <v>0.30634577631689403</v>
      </c>
      <c r="L92" s="24">
        <v>1004.78</v>
      </c>
      <c r="M92" s="17">
        <f t="shared" si="10"/>
        <v>4.055378326541946E-2</v>
      </c>
      <c r="N92" s="34">
        <v>-3130.97</v>
      </c>
      <c r="O92" s="25">
        <v>0</v>
      </c>
      <c r="P92" s="25">
        <v>806.01</v>
      </c>
      <c r="Q92" s="12"/>
      <c r="R92" s="13"/>
      <c r="S92" s="13"/>
      <c r="T92" s="13"/>
      <c r="U92" s="13"/>
    </row>
    <row r="93" spans="1:21" s="2" customFormat="1" ht="15.75" hidden="1" x14ac:dyDescent="0.25">
      <c r="A93" s="33"/>
      <c r="B93" s="31">
        <f t="shared" si="11"/>
        <v>89</v>
      </c>
      <c r="C93" s="31" t="s">
        <v>31</v>
      </c>
      <c r="D93" s="31" t="s">
        <v>43</v>
      </c>
      <c r="E93" s="31" t="s">
        <v>27</v>
      </c>
      <c r="F93" s="10">
        <v>44337</v>
      </c>
      <c r="G93" s="28" t="s">
        <v>135</v>
      </c>
      <c r="H93" s="31" t="s">
        <v>14</v>
      </c>
      <c r="I93" s="24">
        <v>10639.17</v>
      </c>
      <c r="J93" s="24">
        <v>4409.5200000000004</v>
      </c>
      <c r="K93" s="17">
        <f t="shared" si="9"/>
        <v>0.5855390975047865</v>
      </c>
      <c r="L93" s="24">
        <v>1235.08</v>
      </c>
      <c r="M93" s="17">
        <f t="shared" si="10"/>
        <v>0.11608800310550541</v>
      </c>
      <c r="N93" s="24">
        <v>961.67</v>
      </c>
      <c r="O93" s="25">
        <v>0</v>
      </c>
      <c r="P93" s="25">
        <v>0</v>
      </c>
      <c r="Q93" s="12"/>
      <c r="R93" s="13"/>
      <c r="S93" s="13"/>
      <c r="T93" s="13"/>
      <c r="U93" s="13"/>
    </row>
    <row r="94" spans="1:21" s="2" customFormat="1" ht="15.75" hidden="1" x14ac:dyDescent="0.25">
      <c r="A94" s="33"/>
      <c r="B94" s="31">
        <f t="shared" si="11"/>
        <v>90</v>
      </c>
      <c r="C94" s="31" t="s">
        <v>31</v>
      </c>
      <c r="D94" s="31" t="s">
        <v>34</v>
      </c>
      <c r="E94" s="31" t="s">
        <v>97</v>
      </c>
      <c r="F94" s="10">
        <v>44280</v>
      </c>
      <c r="G94" s="28" t="s">
        <v>136</v>
      </c>
      <c r="H94" s="31" t="s">
        <v>20</v>
      </c>
      <c r="I94" s="24">
        <v>6004.17</v>
      </c>
      <c r="J94" s="24">
        <v>2625.8</v>
      </c>
      <c r="K94" s="17">
        <f t="shared" si="9"/>
        <v>0.56267061059230494</v>
      </c>
      <c r="L94" s="24">
        <v>606.11</v>
      </c>
      <c r="M94" s="17">
        <f t="shared" si="10"/>
        <v>0.10094817435215858</v>
      </c>
      <c r="N94" s="34">
        <v>-674.53</v>
      </c>
      <c r="O94" s="25">
        <v>300</v>
      </c>
      <c r="P94" s="25">
        <v>193.41</v>
      </c>
      <c r="Q94" s="12"/>
      <c r="R94" s="13"/>
      <c r="S94" s="13"/>
      <c r="T94" s="13"/>
      <c r="U94" s="13"/>
    </row>
    <row r="95" spans="1:21" s="2" customFormat="1" ht="15.75" hidden="1" x14ac:dyDescent="0.25">
      <c r="A95" s="33"/>
      <c r="B95" s="31">
        <f t="shared" si="11"/>
        <v>91</v>
      </c>
      <c r="C95" s="31" t="s">
        <v>31</v>
      </c>
      <c r="D95" s="31" t="s">
        <v>34</v>
      </c>
      <c r="E95" s="31" t="s">
        <v>27</v>
      </c>
      <c r="F95" s="10">
        <v>44385</v>
      </c>
      <c r="G95" s="28" t="s">
        <v>137</v>
      </c>
      <c r="H95" s="31" t="s">
        <v>14</v>
      </c>
      <c r="I95" s="24">
        <v>16752.46</v>
      </c>
      <c r="J95" s="24">
        <v>8238.74</v>
      </c>
      <c r="K95" s="17">
        <f t="shared" si="9"/>
        <v>0.50820715285993812</v>
      </c>
      <c r="L95" s="24">
        <v>1387.15</v>
      </c>
      <c r="M95" s="17">
        <f t="shared" si="10"/>
        <v>8.2802764489513792E-2</v>
      </c>
      <c r="N95" s="34">
        <v>-615.24</v>
      </c>
      <c r="O95" s="25">
        <v>0</v>
      </c>
      <c r="P95" s="25">
        <v>0</v>
      </c>
      <c r="Q95" s="12"/>
      <c r="R95" s="13"/>
      <c r="S95" s="13"/>
      <c r="T95" s="13"/>
      <c r="U95" s="13"/>
    </row>
    <row r="96" spans="1:21" s="2" customFormat="1" ht="15.75" hidden="1" x14ac:dyDescent="0.25">
      <c r="A96" s="33"/>
      <c r="B96" s="31">
        <f t="shared" si="11"/>
        <v>92</v>
      </c>
      <c r="C96" s="36" t="s">
        <v>115</v>
      </c>
      <c r="D96" s="31" t="s">
        <v>34</v>
      </c>
      <c r="E96" s="31" t="s">
        <v>97</v>
      </c>
      <c r="F96" s="10">
        <v>44354</v>
      </c>
      <c r="G96" s="28" t="s">
        <v>138</v>
      </c>
      <c r="H96" s="31" t="s">
        <v>13</v>
      </c>
      <c r="I96" s="24">
        <v>7589.55</v>
      </c>
      <c r="J96" s="24">
        <v>3321.8</v>
      </c>
      <c r="K96" s="17">
        <f t="shared" si="9"/>
        <v>0.56231924158876345</v>
      </c>
      <c r="L96" s="24">
        <v>803.68</v>
      </c>
      <c r="M96" s="17">
        <f t="shared" si="10"/>
        <v>0.10589297125653035</v>
      </c>
      <c r="N96" s="24">
        <v>54.05</v>
      </c>
      <c r="O96" s="25">
        <v>0</v>
      </c>
      <c r="P96" s="25">
        <v>122.61</v>
      </c>
      <c r="Q96" s="12"/>
      <c r="R96" s="13"/>
      <c r="S96" s="13"/>
      <c r="T96" s="13"/>
      <c r="U96" s="13"/>
    </row>
    <row r="97" spans="1:21" s="2" customFormat="1" ht="15.75" hidden="1" x14ac:dyDescent="0.25">
      <c r="A97" s="33"/>
      <c r="B97" s="31">
        <f t="shared" si="11"/>
        <v>93</v>
      </c>
      <c r="C97" s="36" t="s">
        <v>115</v>
      </c>
      <c r="D97" s="31" t="s">
        <v>34</v>
      </c>
      <c r="E97" s="31" t="s">
        <v>97</v>
      </c>
      <c r="F97" s="10">
        <v>44358</v>
      </c>
      <c r="G97" s="28" t="s">
        <v>139</v>
      </c>
      <c r="H97" s="31" t="s">
        <v>13</v>
      </c>
      <c r="I97" s="24">
        <v>3776.67</v>
      </c>
      <c r="J97" s="24">
        <f>1739.67+24.95</f>
        <v>1764.6200000000001</v>
      </c>
      <c r="K97" s="17">
        <f t="shared" si="9"/>
        <v>0.53275769394731332</v>
      </c>
      <c r="L97" s="24">
        <v>377.91</v>
      </c>
      <c r="M97" s="17">
        <f t="shared" si="10"/>
        <v>0.10006434239687344</v>
      </c>
      <c r="N97" s="34">
        <v>-104.13</v>
      </c>
      <c r="O97" s="25">
        <v>100</v>
      </c>
      <c r="P97" s="25">
        <v>0</v>
      </c>
      <c r="Q97" s="12"/>
      <c r="R97" s="13"/>
      <c r="S97" s="13"/>
      <c r="T97" s="13"/>
      <c r="U97" s="13"/>
    </row>
    <row r="98" spans="1:21" s="2" customFormat="1" ht="15.75" hidden="1" x14ac:dyDescent="0.25">
      <c r="A98" s="33"/>
      <c r="B98" s="31">
        <f t="shared" si="11"/>
        <v>94</v>
      </c>
      <c r="C98" s="36" t="s">
        <v>115</v>
      </c>
      <c r="D98" s="31" t="s">
        <v>34</v>
      </c>
      <c r="E98" s="31" t="s">
        <v>97</v>
      </c>
      <c r="F98" s="10">
        <v>44357</v>
      </c>
      <c r="G98" s="28" t="s">
        <v>140</v>
      </c>
      <c r="H98" s="31" t="s">
        <v>13</v>
      </c>
      <c r="I98" s="24">
        <v>4776.78</v>
      </c>
      <c r="J98" s="24">
        <v>2872.15</v>
      </c>
      <c r="K98" s="17">
        <f t="shared" si="9"/>
        <v>0.39872675735537322</v>
      </c>
      <c r="L98" s="24">
        <v>250.32</v>
      </c>
      <c r="M98" s="17">
        <f t="shared" si="10"/>
        <v>5.2403501940637837E-2</v>
      </c>
      <c r="N98" s="34">
        <v>-373.12</v>
      </c>
      <c r="O98" s="25">
        <v>76.45</v>
      </c>
      <c r="P98" s="25">
        <v>0</v>
      </c>
      <c r="Q98" s="12"/>
      <c r="R98" s="13"/>
      <c r="S98" s="13"/>
      <c r="T98" s="13"/>
      <c r="U98" s="13"/>
    </row>
    <row r="99" spans="1:21" s="2" customFormat="1" ht="15.75" hidden="1" x14ac:dyDescent="0.25">
      <c r="A99" s="33"/>
      <c r="B99" s="31">
        <f t="shared" si="11"/>
        <v>95</v>
      </c>
      <c r="C99" s="36" t="s">
        <v>115</v>
      </c>
      <c r="D99" s="31" t="s">
        <v>26</v>
      </c>
      <c r="E99" s="31" t="s">
        <v>27</v>
      </c>
      <c r="F99" s="10">
        <v>44309</v>
      </c>
      <c r="G99" s="28" t="s">
        <v>141</v>
      </c>
      <c r="H99" s="31" t="s">
        <v>196</v>
      </c>
      <c r="I99" s="24">
        <v>7614.63</v>
      </c>
      <c r="J99" s="24">
        <v>3278.18</v>
      </c>
      <c r="K99" s="17">
        <f t="shared" si="9"/>
        <v>0.56948925949126883</v>
      </c>
      <c r="L99" s="24">
        <v>799.78</v>
      </c>
      <c r="M99" s="17">
        <f t="shared" si="10"/>
        <v>0.10503202388034612</v>
      </c>
      <c r="N99" s="24">
        <v>2778.63</v>
      </c>
      <c r="O99" s="25">
        <v>0</v>
      </c>
      <c r="P99" s="25">
        <v>246</v>
      </c>
      <c r="Q99" s="12"/>
      <c r="R99" s="13"/>
      <c r="S99" s="13"/>
      <c r="T99" s="13"/>
      <c r="U99" s="13"/>
    </row>
    <row r="100" spans="1:21" s="2" customFormat="1" ht="15.75" hidden="1" x14ac:dyDescent="0.25">
      <c r="A100" s="33"/>
      <c r="B100" s="31">
        <f t="shared" si="11"/>
        <v>96</v>
      </c>
      <c r="C100" s="31" t="s">
        <v>31</v>
      </c>
      <c r="D100" s="31" t="s">
        <v>43</v>
      </c>
      <c r="E100" s="31" t="s">
        <v>27</v>
      </c>
      <c r="F100" s="10">
        <v>44390</v>
      </c>
      <c r="G100" s="28" t="s">
        <v>142</v>
      </c>
      <c r="H100" s="31" t="s">
        <v>14</v>
      </c>
      <c r="I100" s="24">
        <v>11256.55</v>
      </c>
      <c r="J100" s="24">
        <v>5704.88</v>
      </c>
      <c r="K100" s="17">
        <f t="shared" si="9"/>
        <v>0.49319462890494864</v>
      </c>
      <c r="L100" s="24">
        <v>1463.27</v>
      </c>
      <c r="M100" s="17">
        <f t="shared" si="10"/>
        <v>0.12999275977097779</v>
      </c>
      <c r="N100" s="24">
        <v>1162.55</v>
      </c>
      <c r="O100" s="25">
        <v>0</v>
      </c>
      <c r="P100" s="25">
        <v>0</v>
      </c>
      <c r="Q100" s="12"/>
      <c r="R100" s="13"/>
      <c r="S100" s="13"/>
      <c r="T100" s="13"/>
      <c r="U100" s="13"/>
    </row>
    <row r="101" spans="1:21" s="2" customFormat="1" ht="15.75" hidden="1" x14ac:dyDescent="0.25">
      <c r="A101" s="33"/>
      <c r="B101" s="31">
        <f t="shared" si="11"/>
        <v>97</v>
      </c>
      <c r="C101" s="31" t="s">
        <v>82</v>
      </c>
      <c r="D101" s="31" t="s">
        <v>43</v>
      </c>
      <c r="E101" s="31" t="s">
        <v>27</v>
      </c>
      <c r="F101" s="10">
        <v>44358</v>
      </c>
      <c r="G101" s="28" t="s">
        <v>143</v>
      </c>
      <c r="H101" s="31" t="s">
        <v>33</v>
      </c>
      <c r="I101" s="24">
        <v>8736.83</v>
      </c>
      <c r="J101" s="24">
        <v>3395.5</v>
      </c>
      <c r="K101" s="17">
        <f t="shared" si="9"/>
        <v>0.61135789525491513</v>
      </c>
      <c r="L101" s="24">
        <v>1344.48</v>
      </c>
      <c r="M101" s="17">
        <f t="shared" si="10"/>
        <v>0.1538864782764458</v>
      </c>
      <c r="N101" s="24">
        <v>1282.53</v>
      </c>
      <c r="O101" s="25">
        <v>0</v>
      </c>
      <c r="P101" s="25">
        <v>284.22000000000003</v>
      </c>
      <c r="Q101" s="12"/>
      <c r="R101" s="13"/>
      <c r="S101" s="13"/>
      <c r="T101" s="13"/>
      <c r="U101" s="13"/>
    </row>
    <row r="102" spans="1:21" s="2" customFormat="1" ht="15.75" hidden="1" x14ac:dyDescent="0.25">
      <c r="A102" s="33"/>
      <c r="B102" s="31">
        <f t="shared" si="11"/>
        <v>98</v>
      </c>
      <c r="C102" s="36" t="s">
        <v>115</v>
      </c>
      <c r="D102" s="31" t="s">
        <v>26</v>
      </c>
      <c r="E102" s="31" t="s">
        <v>27</v>
      </c>
      <c r="F102" s="10">
        <v>44357</v>
      </c>
      <c r="G102" s="28" t="s">
        <v>144</v>
      </c>
      <c r="H102" s="31" t="s">
        <v>205</v>
      </c>
      <c r="I102" s="24">
        <v>12907.72</v>
      </c>
      <c r="J102" s="24">
        <v>4878.37</v>
      </c>
      <c r="K102" s="17">
        <f t="shared" si="9"/>
        <v>0.62205796221176168</v>
      </c>
      <c r="L102" s="24">
        <v>1471.37</v>
      </c>
      <c r="M102" s="17">
        <f t="shared" si="10"/>
        <v>0.11399147177038238</v>
      </c>
      <c r="N102" s="24">
        <v>396.62</v>
      </c>
      <c r="O102" s="25">
        <v>100</v>
      </c>
      <c r="P102" s="25">
        <v>417</v>
      </c>
      <c r="Q102" s="12"/>
      <c r="R102" s="13"/>
      <c r="S102" s="13"/>
      <c r="T102" s="13"/>
      <c r="U102" s="13"/>
    </row>
    <row r="103" spans="1:21" s="2" customFormat="1" ht="15.75" hidden="1" x14ac:dyDescent="0.25">
      <c r="A103" s="33"/>
      <c r="B103" s="31">
        <f t="shared" si="11"/>
        <v>99</v>
      </c>
      <c r="C103" s="36" t="s">
        <v>115</v>
      </c>
      <c r="D103" s="31" t="s">
        <v>34</v>
      </c>
      <c r="E103" s="31" t="s">
        <v>27</v>
      </c>
      <c r="F103" s="10">
        <v>44330</v>
      </c>
      <c r="G103" s="28" t="s">
        <v>145</v>
      </c>
      <c r="H103" s="31" t="s">
        <v>14</v>
      </c>
      <c r="I103" s="24">
        <v>14400</v>
      </c>
      <c r="J103" s="24">
        <v>6870.84</v>
      </c>
      <c r="K103" s="17">
        <f t="shared" si="9"/>
        <v>0.52285833333333331</v>
      </c>
      <c r="L103" s="24">
        <v>1318.32</v>
      </c>
      <c r="M103" s="17">
        <f t="shared" si="10"/>
        <v>9.1549999999999992E-2</v>
      </c>
      <c r="N103" s="24">
        <v>178.8</v>
      </c>
      <c r="O103" s="25">
        <v>0</v>
      </c>
      <c r="P103" s="25">
        <v>0</v>
      </c>
      <c r="Q103" s="12"/>
      <c r="R103" s="13"/>
      <c r="S103" s="13"/>
      <c r="T103" s="13"/>
      <c r="U103" s="13"/>
    </row>
    <row r="104" spans="1:21" s="2" customFormat="1" ht="15.75" hidden="1" x14ac:dyDescent="0.25">
      <c r="A104" s="33"/>
      <c r="B104" s="31">
        <f t="shared" si="11"/>
        <v>100</v>
      </c>
      <c r="C104" s="31" t="s">
        <v>82</v>
      </c>
      <c r="D104" s="31" t="s">
        <v>26</v>
      </c>
      <c r="E104" s="31" t="s">
        <v>27</v>
      </c>
      <c r="F104" s="10">
        <v>44351</v>
      </c>
      <c r="G104" s="28" t="s">
        <v>146</v>
      </c>
      <c r="H104" s="31" t="s">
        <v>19</v>
      </c>
      <c r="I104" s="24">
        <v>7934.66</v>
      </c>
      <c r="J104" s="24">
        <v>3386.79</v>
      </c>
      <c r="K104" s="17">
        <f t="shared" si="9"/>
        <v>0.5731650757562391</v>
      </c>
      <c r="L104" s="24">
        <v>898.53</v>
      </c>
      <c r="M104" s="17">
        <f t="shared" si="10"/>
        <v>0.11324114706868348</v>
      </c>
      <c r="N104" s="24">
        <v>654.66</v>
      </c>
      <c r="O104" s="25">
        <v>0</v>
      </c>
      <c r="P104" s="25">
        <v>225</v>
      </c>
      <c r="Q104" s="12"/>
      <c r="R104" s="13"/>
      <c r="S104" s="13"/>
      <c r="T104" s="13"/>
      <c r="U104" s="13"/>
    </row>
    <row r="105" spans="1:21" s="2" customFormat="1" ht="15.75" hidden="1" x14ac:dyDescent="0.25">
      <c r="A105" s="33"/>
      <c r="B105" s="31">
        <f t="shared" si="11"/>
        <v>101</v>
      </c>
      <c r="C105" s="31" t="s">
        <v>31</v>
      </c>
      <c r="D105" s="31" t="s">
        <v>43</v>
      </c>
      <c r="E105" s="31" t="s">
        <v>27</v>
      </c>
      <c r="F105" s="10">
        <v>44362</v>
      </c>
      <c r="G105" s="28" t="s">
        <v>147</v>
      </c>
      <c r="H105" s="31" t="s">
        <v>14</v>
      </c>
      <c r="I105" s="24">
        <v>11456.78</v>
      </c>
      <c r="J105" s="24">
        <v>5413.31</v>
      </c>
      <c r="K105" s="17">
        <f t="shared" si="9"/>
        <v>0.52750161912858584</v>
      </c>
      <c r="L105" s="24">
        <v>1071.93</v>
      </c>
      <c r="M105" s="17">
        <f t="shared" si="10"/>
        <v>9.3562938277596319E-2</v>
      </c>
      <c r="N105" s="34">
        <v>-276.62</v>
      </c>
      <c r="O105" s="25">
        <v>200</v>
      </c>
      <c r="P105" s="25">
        <v>370.77</v>
      </c>
      <c r="Q105" s="12"/>
      <c r="R105" s="13"/>
      <c r="S105" s="13"/>
      <c r="T105" s="13"/>
      <c r="U105" s="13"/>
    </row>
    <row r="106" spans="1:21" s="2" customFormat="1" ht="15.75" hidden="1" x14ac:dyDescent="0.25">
      <c r="A106" s="33"/>
      <c r="B106" s="31">
        <f t="shared" si="11"/>
        <v>102</v>
      </c>
      <c r="C106" s="36" t="s">
        <v>115</v>
      </c>
      <c r="D106" s="31" t="s">
        <v>26</v>
      </c>
      <c r="E106" s="31" t="s">
        <v>27</v>
      </c>
      <c r="F106" s="10">
        <v>44337</v>
      </c>
      <c r="G106" s="28" t="s">
        <v>148</v>
      </c>
      <c r="H106" s="31" t="s">
        <v>19</v>
      </c>
      <c r="I106" s="24">
        <v>14747.53</v>
      </c>
      <c r="J106" s="24">
        <v>6544.41</v>
      </c>
      <c r="K106" s="17">
        <f t="shared" si="9"/>
        <v>0.55623687492074947</v>
      </c>
      <c r="L106" s="24">
        <v>1305.79</v>
      </c>
      <c r="M106" s="17">
        <f t="shared" si="10"/>
        <v>8.854296278766681E-2</v>
      </c>
      <c r="N106" s="34">
        <v>-460.67</v>
      </c>
      <c r="O106" s="25">
        <v>100</v>
      </c>
      <c r="P106" s="25">
        <v>0</v>
      </c>
      <c r="Q106" s="12"/>
      <c r="R106" s="13"/>
      <c r="S106" s="13"/>
      <c r="T106" s="13"/>
      <c r="U106" s="13"/>
    </row>
    <row r="107" spans="1:21" s="2" customFormat="1" ht="15.75" hidden="1" x14ac:dyDescent="0.25">
      <c r="A107" s="33"/>
      <c r="B107" s="31">
        <f t="shared" si="11"/>
        <v>103</v>
      </c>
      <c r="C107" s="31" t="s">
        <v>31</v>
      </c>
      <c r="D107" s="31" t="s">
        <v>43</v>
      </c>
      <c r="E107" s="31" t="s">
        <v>27</v>
      </c>
      <c r="F107" s="10">
        <v>44373</v>
      </c>
      <c r="G107" s="28" t="s">
        <v>149</v>
      </c>
      <c r="H107" s="31" t="s">
        <v>19</v>
      </c>
      <c r="I107" s="24">
        <v>8815.76</v>
      </c>
      <c r="J107" s="24">
        <v>3418.68</v>
      </c>
      <c r="K107" s="17">
        <f t="shared" si="9"/>
        <v>0.61220813633764981</v>
      </c>
      <c r="L107" s="24">
        <v>1003.4</v>
      </c>
      <c r="M107" s="17">
        <f t="shared" si="10"/>
        <v>0.11381888799150612</v>
      </c>
      <c r="N107" s="24">
        <v>159.56</v>
      </c>
      <c r="O107" s="25">
        <v>100</v>
      </c>
      <c r="P107" s="25">
        <v>142.65</v>
      </c>
      <c r="Q107" s="12"/>
      <c r="R107" s="13"/>
      <c r="S107" s="13"/>
      <c r="T107" s="13"/>
      <c r="U107" s="13"/>
    </row>
    <row r="108" spans="1:21" s="2" customFormat="1" ht="15.75" hidden="1" x14ac:dyDescent="0.25">
      <c r="A108" s="33"/>
      <c r="B108" s="31">
        <f t="shared" si="11"/>
        <v>104</v>
      </c>
      <c r="C108" s="31" t="s">
        <v>31</v>
      </c>
      <c r="D108" s="31" t="s">
        <v>99</v>
      </c>
      <c r="E108" s="31" t="s">
        <v>334</v>
      </c>
      <c r="F108" s="10">
        <v>44313</v>
      </c>
      <c r="G108" s="28" t="s">
        <v>150</v>
      </c>
      <c r="H108" s="31" t="s">
        <v>333</v>
      </c>
      <c r="I108" s="24">
        <v>24101.97</v>
      </c>
      <c r="J108" s="24">
        <v>14927.79</v>
      </c>
      <c r="K108" s="17">
        <f t="shared" si="9"/>
        <v>0.38064025471776786</v>
      </c>
      <c r="L108" s="24">
        <v>1236.93</v>
      </c>
      <c r="M108" s="17">
        <f t="shared" si="10"/>
        <v>5.1320701170900138E-2</v>
      </c>
      <c r="N108" s="34">
        <v>-1370.15</v>
      </c>
      <c r="O108" s="25">
        <v>123.29</v>
      </c>
      <c r="P108" s="25">
        <v>853.2</v>
      </c>
      <c r="Q108" s="12"/>
      <c r="R108" s="13"/>
      <c r="S108" s="13"/>
      <c r="T108" s="13"/>
      <c r="U108" s="13"/>
    </row>
    <row r="109" spans="1:21" s="2" customFormat="1" ht="15.75" hidden="1" x14ac:dyDescent="0.25">
      <c r="A109" s="33"/>
      <c r="B109" s="31">
        <f t="shared" si="11"/>
        <v>105</v>
      </c>
      <c r="C109" s="31" t="s">
        <v>31</v>
      </c>
      <c r="D109" s="31" t="s">
        <v>34</v>
      </c>
      <c r="E109" s="31" t="s">
        <v>97</v>
      </c>
      <c r="F109" s="10">
        <v>44410</v>
      </c>
      <c r="G109" s="28" t="s">
        <v>151</v>
      </c>
      <c r="H109" s="31" t="s">
        <v>13</v>
      </c>
      <c r="I109" s="24">
        <v>9032.68</v>
      </c>
      <c r="J109" s="24">
        <v>3705.01</v>
      </c>
      <c r="K109" s="17">
        <f t="shared" ref="K109:K128" si="12">(I109-J109)/I109</f>
        <v>0.58982162547549566</v>
      </c>
      <c r="L109" s="24">
        <v>1003.32</v>
      </c>
      <c r="M109" s="17">
        <f t="shared" ref="M109:M128" si="13">L109/I109</f>
        <v>0.11107666827563913</v>
      </c>
      <c r="N109" s="24">
        <v>311.38</v>
      </c>
      <c r="O109" s="25">
        <v>0</v>
      </c>
      <c r="P109" s="25">
        <v>146.16</v>
      </c>
      <c r="Q109" s="12"/>
      <c r="R109" s="13"/>
      <c r="S109" s="13"/>
      <c r="T109" s="13"/>
      <c r="U109" s="13"/>
    </row>
    <row r="110" spans="1:21" s="2" customFormat="1" ht="15.75" hidden="1" x14ac:dyDescent="0.25">
      <c r="A110" s="33"/>
      <c r="B110" s="31">
        <f t="shared" si="11"/>
        <v>106</v>
      </c>
      <c r="C110" s="31" t="s">
        <v>31</v>
      </c>
      <c r="D110" s="31" t="s">
        <v>34</v>
      </c>
      <c r="E110" s="31" t="s">
        <v>97</v>
      </c>
      <c r="F110" s="10">
        <v>44349</v>
      </c>
      <c r="G110" s="28" t="s">
        <v>152</v>
      </c>
      <c r="H110" s="31" t="s">
        <v>13</v>
      </c>
      <c r="I110" s="24">
        <v>6053.3</v>
      </c>
      <c r="J110" s="24">
        <v>3078.76</v>
      </c>
      <c r="K110" s="17">
        <f t="shared" si="12"/>
        <v>0.49139147242000231</v>
      </c>
      <c r="L110" s="24">
        <v>410.67</v>
      </c>
      <c r="M110" s="17">
        <f t="shared" si="13"/>
        <v>6.7842333933556903E-2</v>
      </c>
      <c r="N110" s="24">
        <v>-1675.4</v>
      </c>
      <c r="O110" s="25">
        <v>500</v>
      </c>
      <c r="P110" s="25">
        <v>0</v>
      </c>
      <c r="Q110" s="12"/>
      <c r="R110" s="13"/>
      <c r="S110" s="13"/>
      <c r="T110" s="13"/>
      <c r="U110" s="13"/>
    </row>
    <row r="111" spans="1:21" s="2" customFormat="1" ht="15.75" hidden="1" x14ac:dyDescent="0.25">
      <c r="A111" s="33"/>
      <c r="B111" s="31">
        <f t="shared" si="11"/>
        <v>107</v>
      </c>
      <c r="C111" s="31" t="s">
        <v>31</v>
      </c>
      <c r="D111" s="31" t="s">
        <v>34</v>
      </c>
      <c r="E111" s="31" t="s">
        <v>27</v>
      </c>
      <c r="F111" s="10">
        <v>44411</v>
      </c>
      <c r="G111" s="28" t="s">
        <v>153</v>
      </c>
      <c r="H111" s="31" t="s">
        <v>19</v>
      </c>
      <c r="I111" s="24">
        <v>6117.27</v>
      </c>
      <c r="J111" s="24">
        <v>2362.02</v>
      </c>
      <c r="K111" s="17">
        <f t="shared" si="12"/>
        <v>0.61387677836682053</v>
      </c>
      <c r="L111" s="24">
        <v>736.73</v>
      </c>
      <c r="M111" s="17">
        <f t="shared" si="13"/>
        <v>0.1204344421612909</v>
      </c>
      <c r="N111" s="24">
        <v>734.27</v>
      </c>
      <c r="O111" s="25">
        <v>0</v>
      </c>
      <c r="P111" s="25">
        <v>197.97</v>
      </c>
      <c r="Q111" s="12"/>
      <c r="R111" s="13"/>
      <c r="S111" s="13"/>
      <c r="T111" s="13"/>
      <c r="U111" s="13"/>
    </row>
    <row r="112" spans="1:21" s="2" customFormat="1" ht="15.75" hidden="1" x14ac:dyDescent="0.25">
      <c r="A112" s="33"/>
      <c r="B112" s="31">
        <f t="shared" si="11"/>
        <v>108</v>
      </c>
      <c r="C112" s="31" t="s">
        <v>31</v>
      </c>
      <c r="D112" s="31" t="s">
        <v>154</v>
      </c>
      <c r="E112" s="31" t="s">
        <v>335</v>
      </c>
      <c r="F112" s="10">
        <v>44275</v>
      </c>
      <c r="G112" s="28" t="s">
        <v>155</v>
      </c>
      <c r="H112" s="31" t="s">
        <v>16</v>
      </c>
      <c r="I112" s="24">
        <v>9432</v>
      </c>
      <c r="J112" s="24">
        <v>6439.67</v>
      </c>
      <c r="K112" s="17">
        <f t="shared" si="12"/>
        <v>0.31725296861747243</v>
      </c>
      <c r="L112" s="24">
        <v>813.91</v>
      </c>
      <c r="M112" s="17">
        <f t="shared" si="13"/>
        <v>8.6292408821034769E-2</v>
      </c>
      <c r="N112" s="24">
        <v>-455.95</v>
      </c>
      <c r="O112" s="25">
        <v>150</v>
      </c>
      <c r="P112" s="25">
        <v>0</v>
      </c>
      <c r="Q112" s="12"/>
      <c r="R112" s="13"/>
      <c r="S112" s="13"/>
      <c r="T112" s="13"/>
      <c r="U112" s="13"/>
    </row>
    <row r="113" spans="1:21" s="2" customFormat="1" ht="15.75" hidden="1" x14ac:dyDescent="0.25">
      <c r="A113" s="33"/>
      <c r="B113" s="31">
        <f t="shared" si="11"/>
        <v>109</v>
      </c>
      <c r="C113" s="31" t="s">
        <v>31</v>
      </c>
      <c r="D113" s="31" t="s">
        <v>99</v>
      </c>
      <c r="E113" s="31" t="s">
        <v>334</v>
      </c>
      <c r="F113" s="10">
        <v>44292</v>
      </c>
      <c r="G113" s="28" t="s">
        <v>156</v>
      </c>
      <c r="H113" s="31" t="s">
        <v>18</v>
      </c>
      <c r="I113" s="24">
        <v>45960.6</v>
      </c>
      <c r="J113" s="24">
        <v>23081.96</v>
      </c>
      <c r="K113" s="17">
        <f t="shared" si="12"/>
        <v>0.49778810546424546</v>
      </c>
      <c r="L113" s="24">
        <v>3970.12</v>
      </c>
      <c r="M113" s="17">
        <f t="shared" si="13"/>
        <v>8.6380943677845809E-2</v>
      </c>
      <c r="N113" s="24">
        <v>267.39999999999998</v>
      </c>
      <c r="O113" s="25">
        <v>0</v>
      </c>
      <c r="P113" s="25">
        <v>0</v>
      </c>
      <c r="Q113" s="12"/>
      <c r="R113" s="13"/>
      <c r="S113" s="13"/>
      <c r="T113" s="13"/>
      <c r="U113" s="13"/>
    </row>
    <row r="114" spans="1:21" s="2" customFormat="1" ht="15.75" hidden="1" x14ac:dyDescent="0.25">
      <c r="A114" s="33"/>
      <c r="B114" s="31">
        <f t="shared" si="11"/>
        <v>110</v>
      </c>
      <c r="C114" s="31" t="s">
        <v>31</v>
      </c>
      <c r="D114" s="31" t="s">
        <v>43</v>
      </c>
      <c r="E114" s="31" t="s">
        <v>334</v>
      </c>
      <c r="F114" s="10">
        <v>44386</v>
      </c>
      <c r="G114" s="28" t="s">
        <v>157</v>
      </c>
      <c r="H114" s="31" t="s">
        <v>16</v>
      </c>
      <c r="I114" s="24">
        <v>9310.7800000000007</v>
      </c>
      <c r="J114" s="24">
        <v>5687.06</v>
      </c>
      <c r="K114" s="17">
        <f t="shared" si="12"/>
        <v>0.38919617905266796</v>
      </c>
      <c r="L114" s="24">
        <v>535.66</v>
      </c>
      <c r="M114" s="17">
        <f t="shared" si="13"/>
        <v>5.7531162802686768E-2</v>
      </c>
      <c r="N114" s="24">
        <v>-1480.42</v>
      </c>
      <c r="O114" s="25">
        <v>0</v>
      </c>
      <c r="P114" s="25">
        <v>301.32</v>
      </c>
      <c r="Q114" s="12"/>
      <c r="R114" s="13"/>
      <c r="S114" s="13"/>
      <c r="T114" s="13"/>
      <c r="U114" s="13"/>
    </row>
    <row r="115" spans="1:21" s="2" customFormat="1" ht="15.75" hidden="1" x14ac:dyDescent="0.25">
      <c r="A115" s="33"/>
      <c r="B115" s="31">
        <f t="shared" si="11"/>
        <v>111</v>
      </c>
      <c r="C115" s="31" t="s">
        <v>31</v>
      </c>
      <c r="D115" s="31" t="s">
        <v>34</v>
      </c>
      <c r="E115" s="31" t="s">
        <v>335</v>
      </c>
      <c r="F115" s="10">
        <v>44387</v>
      </c>
      <c r="G115" s="28" t="s">
        <v>158</v>
      </c>
      <c r="H115" s="31" t="s">
        <v>16</v>
      </c>
      <c r="I115" s="24">
        <v>8602.48</v>
      </c>
      <c r="J115" s="24">
        <v>5141.1899999999996</v>
      </c>
      <c r="K115" s="17">
        <f t="shared" si="12"/>
        <v>0.40235955212915347</v>
      </c>
      <c r="L115" s="24">
        <v>595.79999999999995</v>
      </c>
      <c r="M115" s="17">
        <f t="shared" si="13"/>
        <v>6.9259097376570475E-2</v>
      </c>
      <c r="N115" s="24">
        <v>-617.62</v>
      </c>
      <c r="O115" s="25">
        <v>0</v>
      </c>
      <c r="P115" s="25">
        <v>278.19</v>
      </c>
      <c r="Q115" s="12"/>
      <c r="R115" s="13"/>
      <c r="S115" s="13"/>
      <c r="T115" s="13"/>
      <c r="U115" s="13"/>
    </row>
    <row r="116" spans="1:21" s="2" customFormat="1" ht="15.75" hidden="1" x14ac:dyDescent="0.25">
      <c r="A116" s="33"/>
      <c r="B116" s="31">
        <f t="shared" si="11"/>
        <v>112</v>
      </c>
      <c r="C116" s="31" t="s">
        <v>31</v>
      </c>
      <c r="D116" s="31" t="s">
        <v>99</v>
      </c>
      <c r="E116" s="31" t="s">
        <v>159</v>
      </c>
      <c r="F116" s="10">
        <v>44322</v>
      </c>
      <c r="G116" s="28" t="s">
        <v>160</v>
      </c>
      <c r="H116" s="31" t="s">
        <v>333</v>
      </c>
      <c r="I116" s="24">
        <v>37775.199999999997</v>
      </c>
      <c r="J116" s="24">
        <v>18280.830000000002</v>
      </c>
      <c r="K116" s="17">
        <f t="shared" si="12"/>
        <v>0.51606265486350822</v>
      </c>
      <c r="L116" s="24">
        <v>4179.76</v>
      </c>
      <c r="M116" s="17">
        <f t="shared" si="13"/>
        <v>0.11064825599864463</v>
      </c>
      <c r="N116" s="24">
        <v>1215.5999999999999</v>
      </c>
      <c r="O116" s="25">
        <v>0</v>
      </c>
      <c r="P116" s="25">
        <v>588.75</v>
      </c>
      <c r="Q116" s="12"/>
      <c r="R116" s="13"/>
      <c r="S116" s="13"/>
      <c r="T116" s="13"/>
      <c r="U116" s="13"/>
    </row>
    <row r="117" spans="1:21" s="2" customFormat="1" ht="15.75" hidden="1" x14ac:dyDescent="0.25">
      <c r="A117" s="33"/>
      <c r="B117" s="31">
        <f t="shared" si="11"/>
        <v>113</v>
      </c>
      <c r="C117" s="31" t="s">
        <v>31</v>
      </c>
      <c r="D117" s="31" t="s">
        <v>99</v>
      </c>
      <c r="E117" s="31" t="s">
        <v>334</v>
      </c>
      <c r="F117" s="10">
        <v>44334</v>
      </c>
      <c r="G117" s="28" t="s">
        <v>161</v>
      </c>
      <c r="H117" s="31" t="s">
        <v>16</v>
      </c>
      <c r="I117" s="24">
        <v>11587.49</v>
      </c>
      <c r="J117" s="24">
        <v>5835.16</v>
      </c>
      <c r="K117" s="17">
        <f t="shared" si="12"/>
        <v>0.49642588688318179</v>
      </c>
      <c r="L117" s="24">
        <v>1285.06</v>
      </c>
      <c r="M117" s="17">
        <f t="shared" si="13"/>
        <v>0.11090063508145422</v>
      </c>
      <c r="N117" s="24">
        <v>448.39</v>
      </c>
      <c r="O117" s="25">
        <v>0</v>
      </c>
      <c r="P117" s="25">
        <v>187.5</v>
      </c>
      <c r="Q117" s="12"/>
      <c r="R117" s="13"/>
      <c r="S117" s="13"/>
      <c r="T117" s="13"/>
      <c r="U117" s="13"/>
    </row>
    <row r="118" spans="1:21" s="2" customFormat="1" ht="15.75" hidden="1" x14ac:dyDescent="0.25">
      <c r="A118" s="33"/>
      <c r="B118" s="31">
        <f t="shared" si="11"/>
        <v>114</v>
      </c>
      <c r="C118" s="31" t="s">
        <v>31</v>
      </c>
      <c r="D118" s="31" t="s">
        <v>99</v>
      </c>
      <c r="E118" s="31" t="s">
        <v>334</v>
      </c>
      <c r="F118" s="10">
        <v>44334</v>
      </c>
      <c r="G118" s="28" t="s">
        <v>162</v>
      </c>
      <c r="H118" s="31" t="s">
        <v>18</v>
      </c>
      <c r="I118" s="24">
        <v>41483.199999999997</v>
      </c>
      <c r="J118" s="24">
        <v>21453.119999999999</v>
      </c>
      <c r="K118" s="17">
        <f t="shared" si="12"/>
        <v>0.48284799629729624</v>
      </c>
      <c r="L118" s="24">
        <v>4055.72</v>
      </c>
      <c r="M118" s="17">
        <f t="shared" si="13"/>
        <v>9.77677710494851E-2</v>
      </c>
      <c r="N118" s="24">
        <v>698.5</v>
      </c>
      <c r="O118" s="25">
        <v>100</v>
      </c>
      <c r="P118" s="25">
        <v>1331.25</v>
      </c>
      <c r="Q118" s="12"/>
      <c r="R118" s="13"/>
      <c r="S118" s="13"/>
      <c r="T118" s="13"/>
      <c r="U118" s="13"/>
    </row>
    <row r="119" spans="1:21" s="2" customFormat="1" ht="15.75" hidden="1" x14ac:dyDescent="0.25">
      <c r="A119" s="33"/>
      <c r="B119" s="31">
        <f t="shared" si="11"/>
        <v>115</v>
      </c>
      <c r="C119" s="31" t="s">
        <v>31</v>
      </c>
      <c r="D119" s="31" t="s">
        <v>99</v>
      </c>
      <c r="E119" s="31" t="s">
        <v>334</v>
      </c>
      <c r="F119" s="10">
        <v>44336</v>
      </c>
      <c r="G119" s="28" t="s">
        <v>163</v>
      </c>
      <c r="H119" s="31" t="s">
        <v>18</v>
      </c>
      <c r="I119" s="24">
        <v>32507.200000000001</v>
      </c>
      <c r="J119" s="24">
        <v>15275.77</v>
      </c>
      <c r="K119" s="17">
        <f t="shared" si="12"/>
        <v>0.53008041295466846</v>
      </c>
      <c r="L119" s="24">
        <v>4156.13</v>
      </c>
      <c r="M119" s="17">
        <f t="shared" si="13"/>
        <v>0.12785259880887925</v>
      </c>
      <c r="N119" s="24">
        <v>3174.4</v>
      </c>
      <c r="O119" s="25">
        <v>0</v>
      </c>
      <c r="P119" s="25">
        <v>0</v>
      </c>
      <c r="Q119" s="12"/>
      <c r="R119" s="13"/>
      <c r="S119" s="13"/>
      <c r="T119" s="13"/>
      <c r="U119" s="13"/>
    </row>
    <row r="120" spans="1:21" s="2" customFormat="1" ht="15.75" hidden="1" x14ac:dyDescent="0.25">
      <c r="A120" s="33"/>
      <c r="B120" s="31">
        <f t="shared" si="11"/>
        <v>116</v>
      </c>
      <c r="C120" s="31" t="s">
        <v>31</v>
      </c>
      <c r="D120" s="31" t="s">
        <v>99</v>
      </c>
      <c r="E120" s="31" t="s">
        <v>159</v>
      </c>
      <c r="F120" s="10">
        <v>44378</v>
      </c>
      <c r="G120" s="28" t="s">
        <v>164</v>
      </c>
      <c r="H120" s="31" t="s">
        <v>18</v>
      </c>
      <c r="I120" s="24">
        <v>12050.98</v>
      </c>
      <c r="J120" s="24">
        <v>5136.3900000000003</v>
      </c>
      <c r="K120" s="17">
        <f t="shared" si="12"/>
        <v>0.57377823214377577</v>
      </c>
      <c r="L120" s="24">
        <v>1601.49</v>
      </c>
      <c r="M120" s="17">
        <f t="shared" si="13"/>
        <v>0.13289292655037185</v>
      </c>
      <c r="N120" s="24">
        <v>990.98</v>
      </c>
      <c r="O120" s="25">
        <v>0</v>
      </c>
      <c r="P120" s="25">
        <v>0</v>
      </c>
      <c r="Q120" s="12"/>
      <c r="R120" s="13"/>
      <c r="S120" s="13"/>
      <c r="T120" s="13"/>
      <c r="U120" s="13"/>
    </row>
    <row r="121" spans="1:21" s="2" customFormat="1" ht="15.75" hidden="1" x14ac:dyDescent="0.25">
      <c r="A121" s="33"/>
      <c r="B121" s="31">
        <f t="shared" si="11"/>
        <v>117</v>
      </c>
      <c r="C121" s="31" t="s">
        <v>31</v>
      </c>
      <c r="D121" s="31" t="s">
        <v>99</v>
      </c>
      <c r="E121" s="31" t="s">
        <v>335</v>
      </c>
      <c r="F121" s="10">
        <v>44386</v>
      </c>
      <c r="G121" s="28" t="s">
        <v>165</v>
      </c>
      <c r="H121" s="31" t="s">
        <v>333</v>
      </c>
      <c r="I121" s="24">
        <v>17946.7</v>
      </c>
      <c r="J121" s="24">
        <v>7912.17</v>
      </c>
      <c r="K121" s="17">
        <f t="shared" si="12"/>
        <v>0.55912953356327344</v>
      </c>
      <c r="L121" s="24">
        <v>2049.5500000000002</v>
      </c>
      <c r="M121" s="17">
        <f t="shared" si="13"/>
        <v>0.11420205385948393</v>
      </c>
      <c r="N121" s="24">
        <v>457.2</v>
      </c>
      <c r="O121" s="25">
        <v>0</v>
      </c>
      <c r="P121" s="25">
        <v>0</v>
      </c>
      <c r="Q121" s="12"/>
      <c r="R121" s="13"/>
      <c r="S121" s="13"/>
      <c r="T121" s="13"/>
      <c r="U121" s="13"/>
    </row>
    <row r="122" spans="1:21" s="2" customFormat="1" ht="15.75" hidden="1" x14ac:dyDescent="0.25">
      <c r="A122" s="33"/>
      <c r="B122" s="31">
        <f t="shared" si="11"/>
        <v>118</v>
      </c>
      <c r="C122" s="31" t="s">
        <v>31</v>
      </c>
      <c r="D122" s="31" t="s">
        <v>99</v>
      </c>
      <c r="E122" s="31" t="s">
        <v>159</v>
      </c>
      <c r="F122" s="10">
        <v>44373</v>
      </c>
      <c r="G122" s="28" t="s">
        <v>166</v>
      </c>
      <c r="H122" s="31" t="s">
        <v>16</v>
      </c>
      <c r="I122" s="24">
        <v>9779.84</v>
      </c>
      <c r="J122" s="24">
        <v>4396.82</v>
      </c>
      <c r="K122" s="17">
        <f t="shared" si="12"/>
        <v>0.55042004777174269</v>
      </c>
      <c r="L122" s="24">
        <v>1271.76</v>
      </c>
      <c r="M122" s="17">
        <f t="shared" si="13"/>
        <v>0.13003893724232707</v>
      </c>
      <c r="N122" s="24">
        <v>804.44</v>
      </c>
      <c r="O122" s="25">
        <v>100</v>
      </c>
      <c r="P122" s="25">
        <v>316.5</v>
      </c>
      <c r="Q122" s="12"/>
      <c r="R122" s="13"/>
      <c r="S122" s="13"/>
      <c r="T122" s="13"/>
      <c r="U122" s="13"/>
    </row>
    <row r="123" spans="1:21" s="2" customFormat="1" ht="15.75" hidden="1" x14ac:dyDescent="0.25">
      <c r="A123" s="33"/>
      <c r="B123" s="31">
        <f t="shared" si="11"/>
        <v>119</v>
      </c>
      <c r="C123" s="31" t="s">
        <v>31</v>
      </c>
      <c r="D123" s="31" t="s">
        <v>167</v>
      </c>
      <c r="E123" s="31" t="s">
        <v>97</v>
      </c>
      <c r="F123" s="10">
        <v>44323</v>
      </c>
      <c r="G123" s="28" t="s">
        <v>168</v>
      </c>
      <c r="H123" s="31" t="s">
        <v>20</v>
      </c>
      <c r="I123" s="24">
        <v>21301.56</v>
      </c>
      <c r="J123" s="24">
        <v>10110.59</v>
      </c>
      <c r="K123" s="17">
        <f t="shared" si="12"/>
        <v>0.52535917557211775</v>
      </c>
      <c r="L123" s="24">
        <v>2025.5</v>
      </c>
      <c r="M123" s="17">
        <f t="shared" si="13"/>
        <v>9.5086932600241481E-2</v>
      </c>
      <c r="N123" s="24">
        <v>-805.14</v>
      </c>
      <c r="O123" s="25">
        <v>300</v>
      </c>
      <c r="P123" s="25">
        <v>0</v>
      </c>
      <c r="Q123" s="12"/>
      <c r="R123" s="13"/>
      <c r="S123" s="13"/>
      <c r="T123" s="13"/>
      <c r="U123" s="13"/>
    </row>
    <row r="124" spans="1:21" s="2" customFormat="1" ht="15.75" hidden="1" x14ac:dyDescent="0.25">
      <c r="A124" s="33"/>
      <c r="B124" s="31">
        <f t="shared" si="11"/>
        <v>120</v>
      </c>
      <c r="C124" s="31" t="s">
        <v>31</v>
      </c>
      <c r="D124" s="31" t="s">
        <v>99</v>
      </c>
      <c r="E124" s="31" t="s">
        <v>335</v>
      </c>
      <c r="F124" s="10">
        <v>44307</v>
      </c>
      <c r="G124" s="28" t="s">
        <v>169</v>
      </c>
      <c r="H124" s="31" t="s">
        <v>18</v>
      </c>
      <c r="I124" s="24">
        <v>47174.97</v>
      </c>
      <c r="J124" s="24">
        <v>17246.689999999999</v>
      </c>
      <c r="K124" s="17">
        <f t="shared" si="12"/>
        <v>0.63441015436787773</v>
      </c>
      <c r="L124" s="24">
        <v>7564.49</v>
      </c>
      <c r="M124" s="17">
        <f t="shared" si="13"/>
        <v>0.16034965152071107</v>
      </c>
      <c r="N124" s="24">
        <v>7974.97</v>
      </c>
      <c r="O124" s="25">
        <v>0</v>
      </c>
      <c r="P124" s="25">
        <v>0</v>
      </c>
      <c r="Q124" s="12"/>
      <c r="R124" s="13"/>
      <c r="S124" s="13"/>
      <c r="T124" s="13"/>
      <c r="U124" s="13"/>
    </row>
    <row r="125" spans="1:21" s="2" customFormat="1" ht="15.75" hidden="1" x14ac:dyDescent="0.25">
      <c r="A125" s="33"/>
      <c r="B125" s="31">
        <f t="shared" si="11"/>
        <v>121</v>
      </c>
      <c r="C125" s="31" t="s">
        <v>127</v>
      </c>
      <c r="D125" s="31" t="s">
        <v>43</v>
      </c>
      <c r="E125" s="31" t="s">
        <v>159</v>
      </c>
      <c r="F125" s="10">
        <v>44345</v>
      </c>
      <c r="G125" s="28" t="s">
        <v>170</v>
      </c>
      <c r="H125" s="31" t="s">
        <v>333</v>
      </c>
      <c r="I125" s="24">
        <v>22941.8</v>
      </c>
      <c r="J125" s="24">
        <v>10258.01</v>
      </c>
      <c r="K125" s="17">
        <f t="shared" si="12"/>
        <v>0.55286812717397937</v>
      </c>
      <c r="L125" s="24">
        <v>2363.98</v>
      </c>
      <c r="M125" s="17">
        <f t="shared" si="13"/>
        <v>0.10304248140947965</v>
      </c>
      <c r="N125" s="24">
        <v>8.0500000000000007</v>
      </c>
      <c r="O125" s="25">
        <v>300</v>
      </c>
      <c r="P125" s="25">
        <v>747.96</v>
      </c>
      <c r="Q125" s="12"/>
      <c r="R125" s="13"/>
      <c r="S125" s="13"/>
      <c r="T125" s="13"/>
      <c r="U125" s="13"/>
    </row>
    <row r="126" spans="1:21" s="2" customFormat="1" ht="15.75" hidden="1" x14ac:dyDescent="0.25">
      <c r="A126" s="33"/>
      <c r="B126" s="31">
        <f t="shared" si="11"/>
        <v>122</v>
      </c>
      <c r="C126" s="31" t="s">
        <v>31</v>
      </c>
      <c r="D126" s="31" t="s">
        <v>43</v>
      </c>
      <c r="E126" s="31" t="s">
        <v>334</v>
      </c>
      <c r="F126" s="10">
        <v>44356</v>
      </c>
      <c r="G126" s="28" t="s">
        <v>171</v>
      </c>
      <c r="H126" s="31" t="s">
        <v>333</v>
      </c>
      <c r="I126" s="24">
        <v>48321.67</v>
      </c>
      <c r="J126" s="24">
        <v>23097.72</v>
      </c>
      <c r="K126" s="17">
        <f t="shared" si="12"/>
        <v>0.52200079177727088</v>
      </c>
      <c r="L126" s="24">
        <v>4021.87</v>
      </c>
      <c r="M126" s="17">
        <f t="shared" si="13"/>
        <v>8.3231187994951328E-2</v>
      </c>
      <c r="N126" s="24">
        <v>881.97</v>
      </c>
      <c r="O126" s="25">
        <v>800</v>
      </c>
      <c r="P126" s="25">
        <v>0</v>
      </c>
      <c r="Q126" s="12"/>
      <c r="R126" s="13"/>
      <c r="S126" s="13"/>
      <c r="T126" s="13"/>
      <c r="U126" s="13"/>
    </row>
    <row r="127" spans="1:21" s="2" customFormat="1" ht="15.75" hidden="1" x14ac:dyDescent="0.25">
      <c r="A127" s="33"/>
      <c r="B127" s="31">
        <f t="shared" si="11"/>
        <v>123</v>
      </c>
      <c r="C127" s="31" t="s">
        <v>31</v>
      </c>
      <c r="D127" s="31" t="s">
        <v>99</v>
      </c>
      <c r="E127" s="31" t="s">
        <v>334</v>
      </c>
      <c r="F127" s="10">
        <v>44334</v>
      </c>
      <c r="G127" s="28" t="s">
        <v>172</v>
      </c>
      <c r="H127" s="31" t="s">
        <v>333</v>
      </c>
      <c r="I127" s="24">
        <v>26910.78</v>
      </c>
      <c r="J127" s="24">
        <v>13339.01</v>
      </c>
      <c r="K127" s="17">
        <f t="shared" si="12"/>
        <v>0.50432466097229434</v>
      </c>
      <c r="L127" s="24">
        <v>2312.5100000000002</v>
      </c>
      <c r="M127" s="17">
        <f t="shared" si="13"/>
        <v>8.5932477616776637E-2</v>
      </c>
      <c r="N127" s="24">
        <v>876.42</v>
      </c>
      <c r="O127" s="25">
        <v>200</v>
      </c>
      <c r="P127" s="25">
        <v>409.65</v>
      </c>
      <c r="Q127" s="12"/>
      <c r="R127" s="13"/>
      <c r="S127" s="13"/>
      <c r="T127" s="13"/>
      <c r="U127" s="13"/>
    </row>
    <row r="128" spans="1:21" s="2" customFormat="1" ht="15.75" hidden="1" x14ac:dyDescent="0.25">
      <c r="A128" s="33"/>
      <c r="B128" s="31">
        <f t="shared" si="11"/>
        <v>124</v>
      </c>
      <c r="C128" s="31" t="s">
        <v>31</v>
      </c>
      <c r="D128" s="31" t="s">
        <v>99</v>
      </c>
      <c r="E128" s="31" t="s">
        <v>159</v>
      </c>
      <c r="F128" s="10">
        <v>44410</v>
      </c>
      <c r="G128" s="28" t="s">
        <v>173</v>
      </c>
      <c r="H128" s="31" t="s">
        <v>333</v>
      </c>
      <c r="I128" s="24">
        <v>17844.73</v>
      </c>
      <c r="J128" s="24">
        <f>7041.45+450</f>
        <v>7491.45</v>
      </c>
      <c r="K128" s="17">
        <f t="shared" si="12"/>
        <v>0.58018697957324095</v>
      </c>
      <c r="L128" s="24">
        <v>2616.56</v>
      </c>
      <c r="M128" s="17">
        <f t="shared" si="13"/>
        <v>0.14662928494855343</v>
      </c>
      <c r="N128" s="24">
        <v>1314.23</v>
      </c>
      <c r="O128" s="25">
        <v>200</v>
      </c>
      <c r="P128" s="25">
        <v>0</v>
      </c>
      <c r="Q128" s="12"/>
      <c r="R128" s="13"/>
      <c r="S128" s="13"/>
      <c r="T128" s="13"/>
      <c r="U128" s="13"/>
    </row>
    <row r="129" spans="1:21" s="2" customFormat="1" ht="15.75" hidden="1" x14ac:dyDescent="0.25">
      <c r="A129" s="33"/>
      <c r="B129" s="31">
        <f t="shared" si="11"/>
        <v>125</v>
      </c>
      <c r="C129" s="31" t="s">
        <v>31</v>
      </c>
      <c r="D129" s="31" t="s">
        <v>99</v>
      </c>
      <c r="E129" s="31" t="s">
        <v>159</v>
      </c>
      <c r="F129" s="10">
        <v>44375</v>
      </c>
      <c r="G129" s="28" t="s">
        <v>174</v>
      </c>
      <c r="H129" s="31" t="s">
        <v>333</v>
      </c>
      <c r="I129" s="24">
        <v>17937.43</v>
      </c>
      <c r="J129" s="24">
        <v>8955.56</v>
      </c>
      <c r="K129" s="17">
        <f t="shared" ref="K129:K135" si="14">(I129-J129)/I129</f>
        <v>0.50073338265292189</v>
      </c>
      <c r="L129" s="24">
        <v>2062.79</v>
      </c>
      <c r="M129" s="17">
        <f t="shared" ref="M129:M135" si="15">L129/I129</f>
        <v>0.11499919442194338</v>
      </c>
      <c r="N129" s="24">
        <v>742.63</v>
      </c>
      <c r="O129" s="25">
        <v>0</v>
      </c>
      <c r="P129" s="25">
        <v>285</v>
      </c>
      <c r="Q129" s="12"/>
      <c r="R129" s="13"/>
      <c r="S129" s="13"/>
      <c r="T129" s="13"/>
      <c r="U129" s="13"/>
    </row>
    <row r="130" spans="1:21" s="2" customFormat="1" ht="15.75" hidden="1" x14ac:dyDescent="0.25">
      <c r="A130" s="33"/>
      <c r="B130" s="31">
        <f t="shared" si="11"/>
        <v>126</v>
      </c>
      <c r="C130" s="31" t="s">
        <v>31</v>
      </c>
      <c r="D130" s="31" t="s">
        <v>34</v>
      </c>
      <c r="E130" s="31" t="s">
        <v>27</v>
      </c>
      <c r="F130" s="10">
        <v>44424</v>
      </c>
      <c r="G130" s="28" t="s">
        <v>175</v>
      </c>
      <c r="H130" s="31" t="s">
        <v>14</v>
      </c>
      <c r="I130" s="24">
        <v>6642.87</v>
      </c>
      <c r="J130" s="24">
        <v>2757.58</v>
      </c>
      <c r="K130" s="17">
        <f t="shared" si="14"/>
        <v>0.58488123356320387</v>
      </c>
      <c r="L130" s="24">
        <v>579.54</v>
      </c>
      <c r="M130" s="17">
        <f t="shared" si="15"/>
        <v>8.7242411788880411E-2</v>
      </c>
      <c r="N130" s="24">
        <v>-0.13</v>
      </c>
      <c r="O130" s="25">
        <v>200</v>
      </c>
      <c r="P130" s="25">
        <v>107.49</v>
      </c>
      <c r="Q130" s="12"/>
      <c r="R130" s="13"/>
      <c r="S130" s="13"/>
      <c r="T130" s="13"/>
      <c r="U130" s="13"/>
    </row>
    <row r="131" spans="1:21" s="2" customFormat="1" ht="15.75" hidden="1" x14ac:dyDescent="0.25">
      <c r="A131" s="33"/>
      <c r="B131" s="31">
        <f t="shared" si="11"/>
        <v>127</v>
      </c>
      <c r="C131" s="31" t="s">
        <v>31</v>
      </c>
      <c r="D131" s="31" t="s">
        <v>43</v>
      </c>
      <c r="E131" s="31" t="s">
        <v>97</v>
      </c>
      <c r="F131" s="10">
        <v>44301</v>
      </c>
      <c r="G131" s="28" t="s">
        <v>176</v>
      </c>
      <c r="H131" s="31" t="s">
        <v>13</v>
      </c>
      <c r="I131" s="24">
        <v>9046.58</v>
      </c>
      <c r="J131" s="24">
        <v>5748.94</v>
      </c>
      <c r="K131" s="17">
        <f t="shared" si="14"/>
        <v>0.36451786199867797</v>
      </c>
      <c r="L131" s="24">
        <v>475.46</v>
      </c>
      <c r="M131" s="17">
        <f t="shared" si="15"/>
        <v>5.2556877847761252E-2</v>
      </c>
      <c r="N131" s="24">
        <v>-3521.22</v>
      </c>
      <c r="O131" s="25">
        <v>1003.79</v>
      </c>
      <c r="P131" s="25">
        <v>292.77</v>
      </c>
      <c r="Q131" s="12"/>
      <c r="R131" s="13"/>
      <c r="S131" s="13"/>
      <c r="T131" s="13"/>
      <c r="U131" s="13"/>
    </row>
    <row r="132" spans="1:21" s="2" customFormat="1" ht="15.75" hidden="1" x14ac:dyDescent="0.25">
      <c r="A132" s="33"/>
      <c r="B132" s="31">
        <f t="shared" si="11"/>
        <v>128</v>
      </c>
      <c r="C132" s="31" t="s">
        <v>31</v>
      </c>
      <c r="D132" s="31" t="s">
        <v>34</v>
      </c>
      <c r="E132" s="31" t="s">
        <v>27</v>
      </c>
      <c r="F132" s="10">
        <v>44466</v>
      </c>
      <c r="G132" s="28" t="s">
        <v>177</v>
      </c>
      <c r="H132" s="31" t="s">
        <v>19</v>
      </c>
      <c r="I132" s="24">
        <v>3871.15</v>
      </c>
      <c r="J132" s="24">
        <v>1966.35</v>
      </c>
      <c r="K132" s="17">
        <f t="shared" si="14"/>
        <v>0.4920501659713522</v>
      </c>
      <c r="L132" s="24">
        <v>327.67</v>
      </c>
      <c r="M132" s="17">
        <f t="shared" si="15"/>
        <v>8.4644098007052165E-2</v>
      </c>
      <c r="N132" s="24">
        <v>-83.85</v>
      </c>
      <c r="O132" s="25">
        <v>0</v>
      </c>
      <c r="P132" s="25">
        <v>125.28</v>
      </c>
      <c r="Q132" s="12"/>
      <c r="R132" s="13"/>
      <c r="S132" s="13"/>
      <c r="T132" s="13"/>
      <c r="U132" s="13"/>
    </row>
    <row r="133" spans="1:21" s="2" customFormat="1" ht="15.75" hidden="1" x14ac:dyDescent="0.25">
      <c r="A133" s="33"/>
      <c r="B133" s="31">
        <f t="shared" si="11"/>
        <v>129</v>
      </c>
      <c r="C133" s="31" t="s">
        <v>31</v>
      </c>
      <c r="D133" s="31" t="s">
        <v>26</v>
      </c>
      <c r="E133" s="31" t="s">
        <v>27</v>
      </c>
      <c r="F133" s="10">
        <v>44406</v>
      </c>
      <c r="G133" s="28" t="s">
        <v>84</v>
      </c>
      <c r="H133" s="31" t="s">
        <v>14</v>
      </c>
      <c r="I133" s="24">
        <v>5000</v>
      </c>
      <c r="J133" s="24">
        <v>2896.76</v>
      </c>
      <c r="K133" s="17">
        <f t="shared" si="14"/>
        <v>0.42064799999999997</v>
      </c>
      <c r="L133" s="24">
        <v>0</v>
      </c>
      <c r="M133" s="17">
        <f t="shared" si="15"/>
        <v>0</v>
      </c>
      <c r="N133" s="24">
        <v>-2068.91</v>
      </c>
      <c r="O133" s="25">
        <v>0</v>
      </c>
      <c r="P133" s="25">
        <v>0</v>
      </c>
      <c r="Q133" s="12" t="s">
        <v>180</v>
      </c>
      <c r="R133" s="13"/>
      <c r="S133" s="13"/>
      <c r="T133" s="13"/>
      <c r="U133" s="13"/>
    </row>
    <row r="134" spans="1:21" s="2" customFormat="1" ht="15.75" hidden="1" x14ac:dyDescent="0.25">
      <c r="A134" s="33"/>
      <c r="B134" s="31">
        <f t="shared" si="11"/>
        <v>130</v>
      </c>
      <c r="C134" s="31" t="s">
        <v>31</v>
      </c>
      <c r="D134" s="31" t="s">
        <v>99</v>
      </c>
      <c r="E134" s="31" t="s">
        <v>334</v>
      </c>
      <c r="F134" s="10">
        <v>44377</v>
      </c>
      <c r="G134" s="28" t="s">
        <v>178</v>
      </c>
      <c r="H134" s="31" t="s">
        <v>18</v>
      </c>
      <c r="I134" s="24">
        <v>34108.92</v>
      </c>
      <c r="J134" s="24">
        <v>13242.33</v>
      </c>
      <c r="K134" s="17">
        <f t="shared" si="14"/>
        <v>0.61176343314300186</v>
      </c>
      <c r="L134" s="24">
        <v>4494.08</v>
      </c>
      <c r="M134" s="17">
        <f t="shared" si="15"/>
        <v>0.13175673694740261</v>
      </c>
      <c r="N134" s="24">
        <v>3665.92</v>
      </c>
      <c r="O134" s="25">
        <v>0</v>
      </c>
      <c r="P134" s="25">
        <v>0</v>
      </c>
      <c r="Q134" s="12"/>
      <c r="R134" s="13"/>
      <c r="S134" s="13"/>
      <c r="T134" s="13"/>
      <c r="U134" s="13"/>
    </row>
    <row r="135" spans="1:21" s="2" customFormat="1" ht="15.75" hidden="1" x14ac:dyDescent="0.25">
      <c r="A135" s="33"/>
      <c r="B135" s="31">
        <f t="shared" si="11"/>
        <v>131</v>
      </c>
      <c r="C135" s="31" t="s">
        <v>31</v>
      </c>
      <c r="D135" s="31" t="s">
        <v>43</v>
      </c>
      <c r="E135" s="31" t="s">
        <v>334</v>
      </c>
      <c r="F135" s="10">
        <v>44337</v>
      </c>
      <c r="G135" s="28" t="s">
        <v>179</v>
      </c>
      <c r="H135" s="31" t="s">
        <v>16</v>
      </c>
      <c r="I135" s="24">
        <v>9084.59</v>
      </c>
      <c r="J135" s="24">
        <v>4986.3999999999996</v>
      </c>
      <c r="K135" s="17">
        <f t="shared" si="14"/>
        <v>0.45111446966786617</v>
      </c>
      <c r="L135" s="24">
        <v>737.37</v>
      </c>
      <c r="M135" s="17">
        <f t="shared" si="15"/>
        <v>8.1167119264600823E-2</v>
      </c>
      <c r="N135" s="24">
        <v>-308.70999999999998</v>
      </c>
      <c r="O135" s="25">
        <v>0</v>
      </c>
      <c r="P135" s="25">
        <v>294</v>
      </c>
      <c r="Q135" s="12"/>
      <c r="R135" s="13"/>
      <c r="S135" s="13"/>
      <c r="T135" s="13"/>
      <c r="U135" s="13"/>
    </row>
    <row r="136" spans="1:21" s="2" customFormat="1" ht="15.75" hidden="1" x14ac:dyDescent="0.25">
      <c r="A136" s="33"/>
      <c r="B136" s="31">
        <f t="shared" si="11"/>
        <v>132</v>
      </c>
      <c r="C136" s="31" t="s">
        <v>31</v>
      </c>
      <c r="D136" s="31" t="s">
        <v>99</v>
      </c>
      <c r="E136" s="31" t="s">
        <v>159</v>
      </c>
      <c r="F136" s="10">
        <v>44376</v>
      </c>
      <c r="G136" s="28" t="s">
        <v>181</v>
      </c>
      <c r="H136" s="31" t="s">
        <v>16</v>
      </c>
      <c r="I136" s="24">
        <v>11615.3</v>
      </c>
      <c r="J136" s="24">
        <v>4867.12</v>
      </c>
      <c r="K136" s="17">
        <f t="shared" ref="K136:K141" si="16">(I136-J136)/I136</f>
        <v>0.58097337132919513</v>
      </c>
      <c r="L136" s="24">
        <v>1425.02</v>
      </c>
      <c r="M136" s="17">
        <f t="shared" ref="M136:M141" si="17">L136/I136</f>
        <v>0.12268473478945874</v>
      </c>
      <c r="N136" s="24">
        <v>-271.26</v>
      </c>
      <c r="O136" s="25">
        <v>400</v>
      </c>
      <c r="P136" s="25">
        <v>0</v>
      </c>
      <c r="Q136" s="12"/>
      <c r="R136" s="13"/>
      <c r="S136" s="13"/>
      <c r="T136" s="13"/>
      <c r="U136" s="13"/>
    </row>
    <row r="137" spans="1:21" s="2" customFormat="1" ht="15.75" hidden="1" x14ac:dyDescent="0.25">
      <c r="A137" s="33"/>
      <c r="B137" s="31">
        <f t="shared" si="11"/>
        <v>133</v>
      </c>
      <c r="C137" s="31" t="s">
        <v>119</v>
      </c>
      <c r="D137" s="31" t="s">
        <v>34</v>
      </c>
      <c r="E137" s="31" t="s">
        <v>334</v>
      </c>
      <c r="F137" s="10">
        <v>44455</v>
      </c>
      <c r="G137" s="28" t="s">
        <v>182</v>
      </c>
      <c r="H137" s="31" t="s">
        <v>16</v>
      </c>
      <c r="I137" s="24">
        <v>6740.94</v>
      </c>
      <c r="J137" s="24">
        <v>2804.05</v>
      </c>
      <c r="K137" s="17">
        <f t="shared" si="16"/>
        <v>0.58402685678851907</v>
      </c>
      <c r="L137" s="24">
        <v>1079.3699999999999</v>
      </c>
      <c r="M137" s="17">
        <f t="shared" si="17"/>
        <v>0.16012158541687063</v>
      </c>
      <c r="N137" s="24">
        <v>1056.94</v>
      </c>
      <c r="O137" s="25">
        <v>0</v>
      </c>
      <c r="P137" s="25">
        <v>0</v>
      </c>
      <c r="Q137" s="12"/>
      <c r="R137" s="13"/>
      <c r="S137" s="13"/>
      <c r="T137" s="13"/>
      <c r="U137" s="13"/>
    </row>
    <row r="138" spans="1:21" s="2" customFormat="1" ht="15.75" hidden="1" x14ac:dyDescent="0.25">
      <c r="A138" s="33"/>
      <c r="B138" s="31">
        <f t="shared" si="11"/>
        <v>134</v>
      </c>
      <c r="C138" s="31" t="s">
        <v>31</v>
      </c>
      <c r="D138" s="31" t="s">
        <v>99</v>
      </c>
      <c r="E138" s="31" t="s">
        <v>335</v>
      </c>
      <c r="F138" s="10">
        <v>44341</v>
      </c>
      <c r="G138" s="28" t="s">
        <v>183</v>
      </c>
      <c r="H138" s="31" t="s">
        <v>18</v>
      </c>
      <c r="I138" s="24">
        <v>25507.3</v>
      </c>
      <c r="J138" s="24">
        <v>13449</v>
      </c>
      <c r="K138" s="17">
        <f t="shared" si="16"/>
        <v>0.4727391766278673</v>
      </c>
      <c r="L138" s="24">
        <v>1986.05</v>
      </c>
      <c r="M138" s="17">
        <f t="shared" si="17"/>
        <v>7.7862023812790851E-2</v>
      </c>
      <c r="N138" s="24">
        <v>-2524.1999999999998</v>
      </c>
      <c r="O138" s="25">
        <v>900</v>
      </c>
      <c r="P138" s="25">
        <v>825.48</v>
      </c>
      <c r="Q138" s="12"/>
      <c r="R138" s="13"/>
      <c r="S138" s="13"/>
      <c r="T138" s="13"/>
      <c r="U138" s="13"/>
    </row>
    <row r="139" spans="1:21" s="2" customFormat="1" ht="15.75" hidden="1" x14ac:dyDescent="0.25">
      <c r="A139" s="33"/>
      <c r="B139" s="31">
        <f t="shared" si="11"/>
        <v>135</v>
      </c>
      <c r="C139" s="31" t="s">
        <v>31</v>
      </c>
      <c r="D139" s="31" t="s">
        <v>34</v>
      </c>
      <c r="E139" s="31" t="s">
        <v>335</v>
      </c>
      <c r="F139" s="10">
        <v>44435</v>
      </c>
      <c r="G139" s="28" t="s">
        <v>184</v>
      </c>
      <c r="H139" s="31" t="s">
        <v>16</v>
      </c>
      <c r="I139" s="24">
        <v>12100.12</v>
      </c>
      <c r="J139" s="24">
        <v>6004.26</v>
      </c>
      <c r="K139" s="17">
        <f t="shared" si="16"/>
        <v>0.50378508642889497</v>
      </c>
      <c r="L139" s="24">
        <v>1366.5</v>
      </c>
      <c r="M139" s="17">
        <f t="shared" si="17"/>
        <v>0.11293276430316393</v>
      </c>
      <c r="N139" s="24">
        <v>1511.22</v>
      </c>
      <c r="O139" s="25">
        <v>0</v>
      </c>
      <c r="P139" s="25">
        <v>391.59</v>
      </c>
      <c r="Q139" s="12"/>
      <c r="R139" s="13"/>
      <c r="S139" s="13"/>
      <c r="T139" s="13"/>
      <c r="U139" s="13"/>
    </row>
    <row r="140" spans="1:21" s="2" customFormat="1" ht="15.75" hidden="1" x14ac:dyDescent="0.25">
      <c r="A140" s="33"/>
      <c r="B140" s="31">
        <f t="shared" si="11"/>
        <v>136</v>
      </c>
      <c r="C140" s="31" t="s">
        <v>185</v>
      </c>
      <c r="D140" s="31" t="s">
        <v>26</v>
      </c>
      <c r="E140" s="31" t="s">
        <v>27</v>
      </c>
      <c r="F140" s="10">
        <v>44405</v>
      </c>
      <c r="G140" s="28" t="s">
        <v>186</v>
      </c>
      <c r="H140" s="31" t="s">
        <v>194</v>
      </c>
      <c r="I140" s="24">
        <v>17520.28</v>
      </c>
      <c r="J140" s="24">
        <v>6378.62</v>
      </c>
      <c r="K140" s="17">
        <f t="shared" si="16"/>
        <v>0.63592933446269129</v>
      </c>
      <c r="L140" s="24">
        <v>2181.6799999999998</v>
      </c>
      <c r="M140" s="17">
        <f t="shared" si="17"/>
        <v>0.12452312405966115</v>
      </c>
      <c r="N140" s="24">
        <v>1507.08</v>
      </c>
      <c r="O140" s="25">
        <v>0</v>
      </c>
      <c r="P140" s="25">
        <v>0</v>
      </c>
      <c r="Q140" s="12"/>
      <c r="R140" s="13"/>
      <c r="S140" s="13"/>
      <c r="T140" s="13"/>
      <c r="U140" s="13"/>
    </row>
    <row r="141" spans="1:21" s="2" customFormat="1" ht="15.75" hidden="1" x14ac:dyDescent="0.25">
      <c r="A141" s="33"/>
      <c r="B141" s="31">
        <f t="shared" si="11"/>
        <v>137</v>
      </c>
      <c r="C141" s="31" t="s">
        <v>31</v>
      </c>
      <c r="D141" s="31" t="s">
        <v>34</v>
      </c>
      <c r="E141" s="31" t="s">
        <v>97</v>
      </c>
      <c r="F141" s="10">
        <v>44466</v>
      </c>
      <c r="G141" s="28" t="s">
        <v>187</v>
      </c>
      <c r="H141" s="31" t="s">
        <v>13</v>
      </c>
      <c r="I141" s="24">
        <v>2576.13</v>
      </c>
      <c r="J141" s="24">
        <v>1713.81</v>
      </c>
      <c r="K141" s="17">
        <f t="shared" si="16"/>
        <v>0.33473466012972952</v>
      </c>
      <c r="L141" s="24">
        <v>65.2</v>
      </c>
      <c r="M141" s="17">
        <f t="shared" si="17"/>
        <v>2.5309281752085494E-2</v>
      </c>
      <c r="N141" s="24">
        <v>-611.77</v>
      </c>
      <c r="O141" s="25">
        <v>112.3</v>
      </c>
      <c r="P141" s="25">
        <v>41.7</v>
      </c>
      <c r="Q141" s="12"/>
      <c r="R141" s="13"/>
      <c r="S141" s="13"/>
      <c r="T141" s="13"/>
      <c r="U141" s="13"/>
    </row>
    <row r="142" spans="1:21" s="2" customFormat="1" ht="15.75" hidden="1" x14ac:dyDescent="0.25">
      <c r="A142" s="33"/>
      <c r="B142" s="31">
        <f t="shared" si="11"/>
        <v>138</v>
      </c>
      <c r="C142" s="31" t="s">
        <v>31</v>
      </c>
      <c r="D142" s="31" t="s">
        <v>43</v>
      </c>
      <c r="E142" s="31" t="s">
        <v>335</v>
      </c>
      <c r="F142" s="10">
        <v>44197</v>
      </c>
      <c r="G142" s="28" t="s">
        <v>227</v>
      </c>
      <c r="H142" s="31" t="s">
        <v>16</v>
      </c>
      <c r="I142" s="24">
        <v>10636.85</v>
      </c>
      <c r="J142" s="24">
        <v>6963.16</v>
      </c>
      <c r="K142" s="17">
        <f t="shared" ref="K142:K147" si="18">(I142-J142)/I142</f>
        <v>0.34537386538307868</v>
      </c>
      <c r="L142" s="24">
        <v>810.44</v>
      </c>
      <c r="M142" s="17">
        <f t="shared" ref="M142:M147" si="19">L142/I142</f>
        <v>7.6191729694411417E-2</v>
      </c>
      <c r="N142" s="24">
        <v>-57.89</v>
      </c>
      <c r="O142" s="25">
        <v>0</v>
      </c>
      <c r="P142" s="25">
        <v>199.86</v>
      </c>
      <c r="Q142" s="12"/>
      <c r="R142" s="13"/>
      <c r="S142" s="13"/>
      <c r="T142" s="13"/>
      <c r="U142" s="13"/>
    </row>
    <row r="143" spans="1:21" s="2" customFormat="1" ht="15.75" hidden="1" x14ac:dyDescent="0.25">
      <c r="A143" s="33"/>
      <c r="B143" s="31">
        <f t="shared" si="11"/>
        <v>139</v>
      </c>
      <c r="C143" s="31" t="s">
        <v>115</v>
      </c>
      <c r="D143" s="31" t="s">
        <v>26</v>
      </c>
      <c r="E143" s="31" t="s">
        <v>27</v>
      </c>
      <c r="F143" s="10">
        <v>44307</v>
      </c>
      <c r="G143" s="28" t="s">
        <v>228</v>
      </c>
      <c r="H143" s="31" t="s">
        <v>193</v>
      </c>
      <c r="I143" s="24">
        <v>24012.77</v>
      </c>
      <c r="J143" s="24">
        <v>12378.68</v>
      </c>
      <c r="K143" s="17">
        <f t="shared" si="18"/>
        <v>0.48449595777580012</v>
      </c>
      <c r="L143" s="24">
        <v>2009.82</v>
      </c>
      <c r="M143" s="17">
        <f t="shared" si="19"/>
        <v>8.3697965707413183E-2</v>
      </c>
      <c r="N143" s="24">
        <v>-663.63</v>
      </c>
      <c r="O143" s="25">
        <v>0</v>
      </c>
      <c r="P143" s="25">
        <v>0</v>
      </c>
      <c r="Q143" s="12"/>
      <c r="R143" s="13"/>
      <c r="S143" s="13"/>
      <c r="T143" s="13"/>
      <c r="U143" s="13"/>
    </row>
    <row r="144" spans="1:21" s="2" customFormat="1" ht="15.75" hidden="1" x14ac:dyDescent="0.25">
      <c r="A144" s="33"/>
      <c r="B144" s="31">
        <f t="shared" si="11"/>
        <v>140</v>
      </c>
      <c r="C144" s="31" t="s">
        <v>115</v>
      </c>
      <c r="D144" s="31" t="s">
        <v>99</v>
      </c>
      <c r="E144" s="31" t="s">
        <v>335</v>
      </c>
      <c r="F144" s="10">
        <v>44315</v>
      </c>
      <c r="G144" s="28" t="s">
        <v>229</v>
      </c>
      <c r="H144" s="31" t="s">
        <v>333</v>
      </c>
      <c r="I144" s="24">
        <v>19500.87</v>
      </c>
      <c r="J144" s="24">
        <v>9577.4500000000007</v>
      </c>
      <c r="K144" s="17">
        <f t="shared" si="18"/>
        <v>0.50887062987446197</v>
      </c>
      <c r="L144" s="24">
        <v>2095.2399999999998</v>
      </c>
      <c r="M144" s="17">
        <f t="shared" si="19"/>
        <v>0.1074434114990767</v>
      </c>
      <c r="N144" s="24">
        <v>905.37</v>
      </c>
      <c r="O144" s="25">
        <v>0</v>
      </c>
      <c r="P144" s="25">
        <v>0</v>
      </c>
      <c r="Q144" s="12"/>
      <c r="R144" s="13"/>
      <c r="S144" s="13"/>
      <c r="T144" s="13"/>
      <c r="U144" s="13"/>
    </row>
    <row r="145" spans="1:21" s="2" customFormat="1" ht="15.75" hidden="1" x14ac:dyDescent="0.25">
      <c r="A145" s="33"/>
      <c r="B145" s="31">
        <f t="shared" si="11"/>
        <v>141</v>
      </c>
      <c r="C145" s="31" t="s">
        <v>230</v>
      </c>
      <c r="D145" s="31" t="s">
        <v>34</v>
      </c>
      <c r="E145" s="31" t="s">
        <v>97</v>
      </c>
      <c r="F145" s="10">
        <v>44474</v>
      </c>
      <c r="G145" s="28" t="s">
        <v>231</v>
      </c>
      <c r="H145" s="31" t="s">
        <v>13</v>
      </c>
      <c r="I145" s="24">
        <v>5969.76</v>
      </c>
      <c r="J145" s="24">
        <v>2943.28</v>
      </c>
      <c r="K145" s="17">
        <f t="shared" si="18"/>
        <v>0.50696845434322313</v>
      </c>
      <c r="L145" s="24">
        <v>557.14</v>
      </c>
      <c r="M145" s="17">
        <f t="shared" si="19"/>
        <v>9.3327034922676952E-2</v>
      </c>
      <c r="N145" s="24">
        <v>-6.84</v>
      </c>
      <c r="O145" s="25">
        <v>0</v>
      </c>
      <c r="P145" s="25">
        <v>193.98</v>
      </c>
      <c r="Q145" s="12"/>
      <c r="R145" s="13"/>
      <c r="S145" s="13"/>
      <c r="T145" s="13"/>
      <c r="U145" s="13"/>
    </row>
    <row r="146" spans="1:21" s="2" customFormat="1" ht="15.75" hidden="1" x14ac:dyDescent="0.25">
      <c r="A146" s="33"/>
      <c r="B146" s="31">
        <f t="shared" si="11"/>
        <v>142</v>
      </c>
      <c r="C146" s="31" t="s">
        <v>31</v>
      </c>
      <c r="D146" s="31" t="s">
        <v>167</v>
      </c>
      <c r="E146" s="31" t="s">
        <v>97</v>
      </c>
      <c r="F146" s="10">
        <v>44482</v>
      </c>
      <c r="G146" s="28" t="s">
        <v>232</v>
      </c>
      <c r="H146" s="31" t="s">
        <v>13</v>
      </c>
      <c r="I146" s="24">
        <v>2392.58</v>
      </c>
      <c r="J146" s="24">
        <v>1062.6600000000001</v>
      </c>
      <c r="K146" s="17">
        <f t="shared" si="18"/>
        <v>0.55585184194467896</v>
      </c>
      <c r="L146" s="24">
        <v>372.25</v>
      </c>
      <c r="M146" s="17">
        <f t="shared" si="19"/>
        <v>0.1555851841944679</v>
      </c>
      <c r="N146" s="24">
        <v>396.88</v>
      </c>
      <c r="O146" s="25">
        <v>0</v>
      </c>
      <c r="P146" s="25">
        <v>77.430000000000007</v>
      </c>
      <c r="Q146" s="12"/>
      <c r="R146" s="13"/>
      <c r="S146" s="13"/>
      <c r="T146" s="13"/>
      <c r="U146" s="13"/>
    </row>
    <row r="147" spans="1:21" s="2" customFormat="1" ht="15.75" hidden="1" x14ac:dyDescent="0.25">
      <c r="A147" s="33"/>
      <c r="B147" s="31">
        <f t="shared" si="11"/>
        <v>143</v>
      </c>
      <c r="C147" s="31" t="s">
        <v>131</v>
      </c>
      <c r="D147" s="31" t="s">
        <v>34</v>
      </c>
      <c r="E147" s="31" t="s">
        <v>97</v>
      </c>
      <c r="F147" s="10">
        <v>44443</v>
      </c>
      <c r="G147" s="28" t="s">
        <v>233</v>
      </c>
      <c r="H147" s="31" t="s">
        <v>13</v>
      </c>
      <c r="I147" s="24">
        <v>9441.58</v>
      </c>
      <c r="J147" s="24">
        <v>4604.7299999999996</v>
      </c>
      <c r="K147" s="17">
        <f t="shared" si="18"/>
        <v>0.51229243410530867</v>
      </c>
      <c r="L147" s="24">
        <v>424.17</v>
      </c>
      <c r="M147" s="17">
        <f t="shared" si="19"/>
        <v>4.4925743360751065E-2</v>
      </c>
      <c r="N147" s="24">
        <v>133.33000000000001</v>
      </c>
      <c r="O147" s="25">
        <v>0</v>
      </c>
      <c r="P147" s="25">
        <v>141.18</v>
      </c>
      <c r="Q147" s="12" t="s">
        <v>234</v>
      </c>
      <c r="R147" s="13"/>
      <c r="S147" s="13"/>
      <c r="T147" s="13"/>
      <c r="U147" s="13"/>
    </row>
    <row r="148" spans="1:21" s="2" customFormat="1" ht="15.75" hidden="1" x14ac:dyDescent="0.25">
      <c r="A148" s="33"/>
      <c r="B148" s="31">
        <f t="shared" si="11"/>
        <v>144</v>
      </c>
      <c r="C148" s="31" t="s">
        <v>131</v>
      </c>
      <c r="D148" s="31" t="s">
        <v>26</v>
      </c>
      <c r="E148" s="31" t="s">
        <v>97</v>
      </c>
      <c r="F148" s="10">
        <v>44489</v>
      </c>
      <c r="G148" s="28" t="s">
        <v>235</v>
      </c>
      <c r="H148" s="31" t="s">
        <v>13</v>
      </c>
      <c r="I148" s="24">
        <v>7641.23</v>
      </c>
      <c r="J148" s="24">
        <v>3525.07</v>
      </c>
      <c r="K148" s="17">
        <f t="shared" ref="K148:K171" si="20">(I148-J148)/I148</f>
        <v>0.53867767362060825</v>
      </c>
      <c r="L148" s="24">
        <v>1001.27</v>
      </c>
      <c r="M148" s="17">
        <f t="shared" ref="M148:M171" si="21">L148/I148</f>
        <v>0.13103518674349549</v>
      </c>
      <c r="N148" s="24">
        <v>691.63</v>
      </c>
      <c r="O148" s="25">
        <v>0</v>
      </c>
      <c r="P148" s="25">
        <v>0</v>
      </c>
      <c r="Q148" s="12"/>
    </row>
    <row r="149" spans="1:21" s="2" customFormat="1" ht="15.75" hidden="1" x14ac:dyDescent="0.25">
      <c r="A149" s="33"/>
      <c r="B149" s="31">
        <f t="shared" ref="B149:B212" si="22">B148+1</f>
        <v>145</v>
      </c>
      <c r="C149" s="31" t="s">
        <v>216</v>
      </c>
      <c r="D149" s="31" t="s">
        <v>26</v>
      </c>
      <c r="E149" s="31" t="s">
        <v>97</v>
      </c>
      <c r="F149" s="10">
        <v>44427</v>
      </c>
      <c r="G149" s="28" t="s">
        <v>236</v>
      </c>
      <c r="H149" s="31" t="s">
        <v>20</v>
      </c>
      <c r="I149" s="24">
        <v>9019.3799999999992</v>
      </c>
      <c r="J149" s="24">
        <v>4819.55</v>
      </c>
      <c r="K149" s="17">
        <f t="shared" si="20"/>
        <v>0.46564508868680543</v>
      </c>
      <c r="L149" s="24">
        <v>356.31</v>
      </c>
      <c r="M149" s="17">
        <f t="shared" si="21"/>
        <v>3.9504932711561108E-2</v>
      </c>
      <c r="N149" s="24">
        <v>-1302.82</v>
      </c>
      <c r="O149" s="25">
        <v>0</v>
      </c>
      <c r="P149" s="25">
        <v>0</v>
      </c>
      <c r="Q149" s="12"/>
    </row>
    <row r="150" spans="1:21" s="2" customFormat="1" ht="15.75" hidden="1" x14ac:dyDescent="0.25">
      <c r="A150" s="33"/>
      <c r="B150" s="31">
        <f t="shared" si="22"/>
        <v>146</v>
      </c>
      <c r="C150" s="31" t="s">
        <v>82</v>
      </c>
      <c r="D150" s="31" t="s">
        <v>34</v>
      </c>
      <c r="E150" s="31" t="s">
        <v>97</v>
      </c>
      <c r="F150" s="10">
        <v>44473</v>
      </c>
      <c r="G150" s="28" t="s">
        <v>237</v>
      </c>
      <c r="H150" s="31" t="s">
        <v>13</v>
      </c>
      <c r="I150" s="24">
        <v>13970.26</v>
      </c>
      <c r="J150" s="24">
        <v>6670.83</v>
      </c>
      <c r="K150" s="17">
        <f t="shared" si="20"/>
        <v>0.52249779173759114</v>
      </c>
      <c r="L150" s="24">
        <v>1330.11</v>
      </c>
      <c r="M150" s="17">
        <f t="shared" si="21"/>
        <v>9.5210110620704252E-2</v>
      </c>
      <c r="N150" s="24">
        <v>-278.58999999999997</v>
      </c>
      <c r="O150" s="25">
        <v>0</v>
      </c>
      <c r="P150" s="25">
        <v>227.25</v>
      </c>
      <c r="Q150" s="12"/>
    </row>
    <row r="151" spans="1:21" s="2" customFormat="1" ht="15.75" hidden="1" x14ac:dyDescent="0.25">
      <c r="A151" s="33"/>
      <c r="B151" s="31">
        <f t="shared" si="22"/>
        <v>147</v>
      </c>
      <c r="C151" s="31" t="s">
        <v>82</v>
      </c>
      <c r="D151" s="31" t="s">
        <v>34</v>
      </c>
      <c r="E151" s="31" t="s">
        <v>97</v>
      </c>
      <c r="F151" s="10">
        <v>44457</v>
      </c>
      <c r="G151" s="28" t="s">
        <v>238</v>
      </c>
      <c r="H151" s="31" t="s">
        <v>13</v>
      </c>
      <c r="I151" s="24">
        <v>9376.83</v>
      </c>
      <c r="J151" s="24">
        <v>5070.41</v>
      </c>
      <c r="K151" s="17">
        <f t="shared" si="20"/>
        <v>0.45926181875964478</v>
      </c>
      <c r="L151" s="24">
        <v>336.76</v>
      </c>
      <c r="M151" s="17">
        <f t="shared" si="21"/>
        <v>3.5914056242888057E-2</v>
      </c>
      <c r="N151" s="24">
        <v>-1363.62</v>
      </c>
      <c r="O151" s="25">
        <v>0</v>
      </c>
      <c r="P151" s="25">
        <v>305.04000000000002</v>
      </c>
      <c r="Q151" s="12"/>
    </row>
    <row r="152" spans="1:21" s="2" customFormat="1" ht="15.75" hidden="1" x14ac:dyDescent="0.25">
      <c r="A152" s="33"/>
      <c r="B152" s="31">
        <f t="shared" si="22"/>
        <v>148</v>
      </c>
      <c r="C152" s="31" t="s">
        <v>119</v>
      </c>
      <c r="D152" s="31" t="s">
        <v>34</v>
      </c>
      <c r="E152" s="31" t="s">
        <v>334</v>
      </c>
      <c r="F152" s="10">
        <v>44466</v>
      </c>
      <c r="G152" s="28" t="s">
        <v>239</v>
      </c>
      <c r="H152" s="31" t="s">
        <v>333</v>
      </c>
      <c r="I152" s="24">
        <v>26759</v>
      </c>
      <c r="J152" s="24">
        <v>13315.19</v>
      </c>
      <c r="K152" s="17">
        <f t="shared" si="20"/>
        <v>0.5024033035614186</v>
      </c>
      <c r="L152" s="24">
        <v>1000</v>
      </c>
      <c r="M152" s="17">
        <f t="shared" si="21"/>
        <v>3.7370604282671249E-2</v>
      </c>
      <c r="N152" s="24">
        <v>-1208.6199999999999</v>
      </c>
      <c r="O152" s="25">
        <v>0</v>
      </c>
      <c r="P152" s="25">
        <v>866.49</v>
      </c>
      <c r="Q152" s="12"/>
    </row>
    <row r="153" spans="1:21" s="2" customFormat="1" ht="15.75" hidden="1" x14ac:dyDescent="0.25">
      <c r="A153" s="33"/>
      <c r="B153" s="31">
        <f t="shared" si="22"/>
        <v>149</v>
      </c>
      <c r="C153" s="31" t="s">
        <v>31</v>
      </c>
      <c r="D153" s="31" t="s">
        <v>99</v>
      </c>
      <c r="E153" s="31" t="s">
        <v>335</v>
      </c>
      <c r="F153" s="10">
        <v>44233</v>
      </c>
      <c r="G153" s="28" t="s">
        <v>143</v>
      </c>
      <c r="H153" s="31" t="s">
        <v>18</v>
      </c>
      <c r="I153" s="24">
        <v>29924.68</v>
      </c>
      <c r="J153" s="24">
        <v>14038.56</v>
      </c>
      <c r="K153" s="17">
        <f t="shared" si="20"/>
        <v>0.53087017137693704</v>
      </c>
      <c r="L153" s="24">
        <v>3435.3</v>
      </c>
      <c r="M153" s="17">
        <f t="shared" si="21"/>
        <v>0.11479822006450863</v>
      </c>
      <c r="N153" s="24">
        <v>1551.57</v>
      </c>
      <c r="O153" s="25">
        <v>0</v>
      </c>
      <c r="P153" s="25">
        <v>0</v>
      </c>
      <c r="Q153" s="12"/>
    </row>
    <row r="154" spans="1:21" s="2" customFormat="1" ht="15.75" hidden="1" x14ac:dyDescent="0.25">
      <c r="A154" s="33"/>
      <c r="B154" s="31">
        <f t="shared" si="22"/>
        <v>150</v>
      </c>
      <c r="C154" s="31" t="s">
        <v>82</v>
      </c>
      <c r="D154" s="31" t="s">
        <v>43</v>
      </c>
      <c r="E154" s="31" t="s">
        <v>334</v>
      </c>
      <c r="F154" s="10">
        <v>44540</v>
      </c>
      <c r="G154" s="28" t="s">
        <v>240</v>
      </c>
      <c r="H154" s="31" t="s">
        <v>16</v>
      </c>
      <c r="I154" s="24">
        <v>5835.46</v>
      </c>
      <c r="J154" s="24">
        <v>2853.41</v>
      </c>
      <c r="K154" s="17">
        <f t="shared" si="20"/>
        <v>0.51102226731054623</v>
      </c>
      <c r="L154" s="24">
        <v>601.20000000000005</v>
      </c>
      <c r="M154" s="17">
        <f t="shared" si="21"/>
        <v>0.10302529706312785</v>
      </c>
      <c r="N154" s="24">
        <v>189.09</v>
      </c>
      <c r="O154" s="25">
        <v>0</v>
      </c>
      <c r="P154" s="25">
        <v>94.44</v>
      </c>
      <c r="Q154" s="12"/>
    </row>
    <row r="155" spans="1:21" s="2" customFormat="1" ht="15.75" hidden="1" x14ac:dyDescent="0.25">
      <c r="A155" s="33"/>
      <c r="B155" s="31">
        <f t="shared" si="22"/>
        <v>151</v>
      </c>
      <c r="C155" s="31" t="s">
        <v>31</v>
      </c>
      <c r="D155" s="31" t="s">
        <v>99</v>
      </c>
      <c r="E155" s="31" t="s">
        <v>334</v>
      </c>
      <c r="F155" s="10">
        <v>44413</v>
      </c>
      <c r="G155" s="28" t="s">
        <v>241</v>
      </c>
      <c r="H155" s="31" t="s">
        <v>333</v>
      </c>
      <c r="I155" s="24">
        <v>27809.97</v>
      </c>
      <c r="J155" s="24">
        <f>14046.6-1130</f>
        <v>12916.6</v>
      </c>
      <c r="K155" s="17">
        <f t="shared" si="20"/>
        <v>0.53554067120532678</v>
      </c>
      <c r="L155" s="24">
        <v>4817.8599999999997</v>
      </c>
      <c r="M155" s="17">
        <f t="shared" si="21"/>
        <v>0.17324218616560894</v>
      </c>
      <c r="N155" s="24">
        <v>5162.17</v>
      </c>
      <c r="O155" s="25">
        <v>0</v>
      </c>
      <c r="P155" s="25">
        <v>280</v>
      </c>
      <c r="Q155" s="12"/>
    </row>
    <row r="156" spans="1:21" s="2" customFormat="1" ht="15.75" hidden="1" x14ac:dyDescent="0.25">
      <c r="A156" s="33"/>
      <c r="B156" s="31">
        <f t="shared" si="22"/>
        <v>152</v>
      </c>
      <c r="C156" s="31" t="s">
        <v>216</v>
      </c>
      <c r="D156" s="31" t="s">
        <v>26</v>
      </c>
      <c r="E156" s="31" t="s">
        <v>27</v>
      </c>
      <c r="F156" s="10">
        <v>44447</v>
      </c>
      <c r="G156" s="28" t="s">
        <v>242</v>
      </c>
      <c r="H156" s="31" t="s">
        <v>192</v>
      </c>
      <c r="I156" s="24">
        <v>5597.67</v>
      </c>
      <c r="J156" s="24">
        <v>2269.85</v>
      </c>
      <c r="K156" s="17">
        <f t="shared" si="20"/>
        <v>0.59450092627825513</v>
      </c>
      <c r="L156" s="24">
        <v>662.43</v>
      </c>
      <c r="M156" s="17">
        <f t="shared" si="21"/>
        <v>0.11834030945018194</v>
      </c>
      <c r="N156" s="24">
        <v>606.66999999999996</v>
      </c>
      <c r="O156" s="25">
        <v>0</v>
      </c>
      <c r="P156" s="25">
        <v>0</v>
      </c>
      <c r="Q156" s="12"/>
    </row>
    <row r="157" spans="1:21" s="2" customFormat="1" ht="15.75" hidden="1" x14ac:dyDescent="0.25">
      <c r="A157" s="33"/>
      <c r="B157" s="31">
        <f t="shared" si="22"/>
        <v>153</v>
      </c>
      <c r="C157" s="31" t="s">
        <v>216</v>
      </c>
      <c r="D157" s="31" t="s">
        <v>26</v>
      </c>
      <c r="E157" s="31" t="s">
        <v>27</v>
      </c>
      <c r="F157" s="10">
        <v>44398</v>
      </c>
      <c r="G157" s="28" t="s">
        <v>243</v>
      </c>
      <c r="H157" s="31" t="s">
        <v>189</v>
      </c>
      <c r="I157" s="24">
        <v>26306.52</v>
      </c>
      <c r="J157" s="24">
        <v>10411.469999999999</v>
      </c>
      <c r="K157" s="17">
        <f t="shared" si="20"/>
        <v>0.60422473211964189</v>
      </c>
      <c r="L157" s="24">
        <v>3338.71</v>
      </c>
      <c r="M157" s="17">
        <f t="shared" si="21"/>
        <v>0.1269156847808072</v>
      </c>
      <c r="N157" s="24">
        <v>2108.92</v>
      </c>
      <c r="O157" s="25">
        <v>200</v>
      </c>
      <c r="P157" s="25">
        <v>0</v>
      </c>
      <c r="Q157" s="12"/>
    </row>
    <row r="158" spans="1:21" s="2" customFormat="1" ht="15.75" hidden="1" x14ac:dyDescent="0.25">
      <c r="A158" s="33"/>
      <c r="B158" s="31">
        <f t="shared" si="22"/>
        <v>154</v>
      </c>
      <c r="C158" s="31" t="s">
        <v>115</v>
      </c>
      <c r="D158" s="31" t="s">
        <v>26</v>
      </c>
      <c r="E158" s="31" t="s">
        <v>27</v>
      </c>
      <c r="F158" s="10">
        <v>44464</v>
      </c>
      <c r="G158" s="28" t="s">
        <v>244</v>
      </c>
      <c r="H158" s="31" t="s">
        <v>192</v>
      </c>
      <c r="I158" s="24">
        <v>8078.93</v>
      </c>
      <c r="J158" s="24">
        <v>3417.98</v>
      </c>
      <c r="K158" s="17">
        <f t="shared" si="20"/>
        <v>0.57692664746445388</v>
      </c>
      <c r="L158" s="24">
        <v>870.31</v>
      </c>
      <c r="M158" s="17">
        <f t="shared" si="21"/>
        <v>0.10772589934558165</v>
      </c>
      <c r="N158" s="24">
        <v>176.04</v>
      </c>
      <c r="O158" s="25">
        <v>100</v>
      </c>
      <c r="P158" s="25">
        <v>0</v>
      </c>
      <c r="Q158" s="12"/>
    </row>
    <row r="159" spans="1:21" s="2" customFormat="1" ht="15.75" hidden="1" x14ac:dyDescent="0.25">
      <c r="A159" s="33"/>
      <c r="B159" s="31">
        <f t="shared" si="22"/>
        <v>155</v>
      </c>
      <c r="C159" s="31" t="s">
        <v>131</v>
      </c>
      <c r="D159" s="31" t="s">
        <v>99</v>
      </c>
      <c r="E159" s="31" t="s">
        <v>246</v>
      </c>
      <c r="F159" s="10">
        <v>44546</v>
      </c>
      <c r="G159" s="28" t="s">
        <v>245</v>
      </c>
      <c r="H159" s="31" t="s">
        <v>16</v>
      </c>
      <c r="I159" s="24">
        <v>11075.04</v>
      </c>
      <c r="J159" s="24">
        <f>4146.67-487.77-25.14</f>
        <v>3633.76</v>
      </c>
      <c r="K159" s="17">
        <f t="shared" si="20"/>
        <v>0.67189644461780729</v>
      </c>
      <c r="L159" s="24">
        <v>2002.94</v>
      </c>
      <c r="M159" s="17">
        <f t="shared" si="21"/>
        <v>0.18085171701411462</v>
      </c>
      <c r="N159" s="24">
        <v>2418.84</v>
      </c>
      <c r="O159" s="25"/>
      <c r="P159" s="25">
        <v>356.55</v>
      </c>
      <c r="Q159" s="12" t="s">
        <v>257</v>
      </c>
    </row>
    <row r="160" spans="1:21" s="2" customFormat="1" ht="15.75" hidden="1" x14ac:dyDescent="0.25">
      <c r="A160" s="33"/>
      <c r="B160" s="31">
        <f t="shared" si="22"/>
        <v>156</v>
      </c>
      <c r="C160" s="31" t="s">
        <v>115</v>
      </c>
      <c r="D160" s="31" t="s">
        <v>34</v>
      </c>
      <c r="E160" s="31" t="s">
        <v>27</v>
      </c>
      <c r="F160" s="10">
        <v>44410</v>
      </c>
      <c r="G160" s="28" t="s">
        <v>247</v>
      </c>
      <c r="H160" s="31" t="s">
        <v>19</v>
      </c>
      <c r="I160" s="24">
        <v>7661.06</v>
      </c>
      <c r="J160" s="24">
        <v>4008.33</v>
      </c>
      <c r="K160" s="17">
        <f t="shared" si="20"/>
        <v>0.47679172333854586</v>
      </c>
      <c r="L160" s="24">
        <v>593.03</v>
      </c>
      <c r="M160" s="17">
        <f t="shared" si="21"/>
        <v>7.7408348192025633E-2</v>
      </c>
      <c r="N160" s="24">
        <v>157.94</v>
      </c>
      <c r="O160" s="25">
        <v>0</v>
      </c>
      <c r="P160" s="25">
        <v>0</v>
      </c>
      <c r="Q160" s="12"/>
    </row>
    <row r="161" spans="1:17" s="2" customFormat="1" ht="15.75" hidden="1" x14ac:dyDescent="0.25">
      <c r="A161" s="33"/>
      <c r="B161" s="31">
        <f t="shared" si="22"/>
        <v>157</v>
      </c>
      <c r="C161" s="31" t="s">
        <v>115</v>
      </c>
      <c r="D161" s="31" t="s">
        <v>34</v>
      </c>
      <c r="E161" s="31" t="s">
        <v>27</v>
      </c>
      <c r="F161" s="10">
        <v>44293</v>
      </c>
      <c r="G161" s="28" t="s">
        <v>248</v>
      </c>
      <c r="H161" s="31" t="s">
        <v>19</v>
      </c>
      <c r="I161" s="24">
        <v>13776.9</v>
      </c>
      <c r="J161" s="24">
        <v>7643.94</v>
      </c>
      <c r="K161" s="17">
        <f t="shared" si="20"/>
        <v>0.44516255471114691</v>
      </c>
      <c r="L161" s="24">
        <v>873.81</v>
      </c>
      <c r="M161" s="17">
        <f t="shared" si="21"/>
        <v>6.3425734381464621E-2</v>
      </c>
      <c r="N161" s="24">
        <v>-396.7</v>
      </c>
      <c r="O161" s="25">
        <v>100</v>
      </c>
      <c r="P161" s="25">
        <v>0</v>
      </c>
      <c r="Q161" s="12"/>
    </row>
    <row r="162" spans="1:17" s="2" customFormat="1" ht="15.75" hidden="1" x14ac:dyDescent="0.25">
      <c r="A162" s="33"/>
      <c r="B162" s="31">
        <f t="shared" si="22"/>
        <v>158</v>
      </c>
      <c r="C162" s="31" t="s">
        <v>31</v>
      </c>
      <c r="D162" s="31" t="s">
        <v>99</v>
      </c>
      <c r="E162" s="31" t="s">
        <v>335</v>
      </c>
      <c r="F162" s="10">
        <v>44470</v>
      </c>
      <c r="G162" s="28" t="s">
        <v>249</v>
      </c>
      <c r="H162" s="31" t="s">
        <v>18</v>
      </c>
      <c r="I162" s="24">
        <v>27809.97</v>
      </c>
      <c r="J162" s="24">
        <v>9248.99</v>
      </c>
      <c r="K162" s="17">
        <f t="shared" si="20"/>
        <v>0.66742179153735159</v>
      </c>
      <c r="L162" s="24">
        <v>4289.22</v>
      </c>
      <c r="M162" s="17">
        <f t="shared" si="21"/>
        <v>0.15423317608756859</v>
      </c>
      <c r="N162" s="24">
        <v>3840.57</v>
      </c>
      <c r="O162" s="25">
        <v>0</v>
      </c>
      <c r="P162" s="25">
        <v>690</v>
      </c>
      <c r="Q162" s="12"/>
    </row>
    <row r="163" spans="1:17" s="2" customFormat="1" ht="15.75" hidden="1" x14ac:dyDescent="0.25">
      <c r="A163" s="33"/>
      <c r="B163" s="31">
        <f t="shared" si="22"/>
        <v>159</v>
      </c>
      <c r="C163" s="31" t="s">
        <v>31</v>
      </c>
      <c r="D163" s="31" t="s">
        <v>43</v>
      </c>
      <c r="E163" s="31" t="s">
        <v>159</v>
      </c>
      <c r="F163" s="10">
        <v>44406</v>
      </c>
      <c r="G163" s="28" t="s">
        <v>250</v>
      </c>
      <c r="H163" s="31" t="s">
        <v>333</v>
      </c>
      <c r="I163" s="24">
        <v>29722.13</v>
      </c>
      <c r="J163" s="24">
        <v>11539.09</v>
      </c>
      <c r="K163" s="17">
        <f t="shared" si="20"/>
        <v>0.61176772997090045</v>
      </c>
      <c r="L163" s="24">
        <v>4202.75</v>
      </c>
      <c r="M163" s="17">
        <f t="shared" si="21"/>
        <v>0.14140137332014899</v>
      </c>
      <c r="N163" s="24">
        <v>2334.98</v>
      </c>
      <c r="O163" s="25">
        <v>0</v>
      </c>
      <c r="P163" s="25">
        <v>961.88</v>
      </c>
      <c r="Q163" s="12"/>
    </row>
    <row r="164" spans="1:17" s="2" customFormat="1" ht="15.75" hidden="1" x14ac:dyDescent="0.25">
      <c r="A164" s="33"/>
      <c r="B164" s="31">
        <f t="shared" si="22"/>
        <v>160</v>
      </c>
      <c r="C164" s="31" t="s">
        <v>115</v>
      </c>
      <c r="D164" s="31" t="s">
        <v>167</v>
      </c>
      <c r="E164" s="31" t="s">
        <v>27</v>
      </c>
      <c r="F164" s="10">
        <v>44508</v>
      </c>
      <c r="G164" s="28" t="s">
        <v>251</v>
      </c>
      <c r="H164" s="31" t="s">
        <v>19</v>
      </c>
      <c r="I164" s="24">
        <v>18567.61</v>
      </c>
      <c r="J164" s="24">
        <v>5413.87</v>
      </c>
      <c r="K164" s="17">
        <f t="shared" si="20"/>
        <v>0.70842397055948514</v>
      </c>
      <c r="L164" s="24">
        <v>2933.97</v>
      </c>
      <c r="M164" s="17">
        <f t="shared" si="21"/>
        <v>0.15801549041583701</v>
      </c>
      <c r="N164" s="24">
        <v>2798.01</v>
      </c>
      <c r="O164" s="25">
        <v>0</v>
      </c>
      <c r="P164" s="25">
        <v>599.85</v>
      </c>
      <c r="Q164" s="12"/>
    </row>
    <row r="165" spans="1:17" s="2" customFormat="1" ht="15.75" hidden="1" x14ac:dyDescent="0.25">
      <c r="A165" s="33"/>
      <c r="B165" s="31">
        <f t="shared" si="22"/>
        <v>161</v>
      </c>
      <c r="C165" s="31" t="s">
        <v>31</v>
      </c>
      <c r="D165" s="31" t="s">
        <v>43</v>
      </c>
      <c r="E165" s="31" t="s">
        <v>335</v>
      </c>
      <c r="F165" s="10">
        <v>44422</v>
      </c>
      <c r="G165" s="28" t="s">
        <v>252</v>
      </c>
      <c r="H165" s="31" t="s">
        <v>333</v>
      </c>
      <c r="I165" s="24">
        <v>22669.759999999998</v>
      </c>
      <c r="J165" s="24">
        <v>11895.5</v>
      </c>
      <c r="K165" s="17">
        <f t="shared" si="20"/>
        <v>0.47527013960447745</v>
      </c>
      <c r="L165" s="24">
        <v>1634.11</v>
      </c>
      <c r="M165" s="17">
        <f t="shared" si="21"/>
        <v>7.2083250991629377E-2</v>
      </c>
      <c r="N165" s="24">
        <v>-1013.14</v>
      </c>
      <c r="O165" s="25">
        <v>200</v>
      </c>
      <c r="P165" s="25">
        <v>0</v>
      </c>
      <c r="Q165" s="12"/>
    </row>
    <row r="166" spans="1:17" s="2" customFormat="1" ht="15.75" hidden="1" x14ac:dyDescent="0.25">
      <c r="A166" s="33"/>
      <c r="B166" s="31">
        <f t="shared" si="22"/>
        <v>162</v>
      </c>
      <c r="C166" s="31" t="s">
        <v>115</v>
      </c>
      <c r="D166" s="31" t="s">
        <v>99</v>
      </c>
      <c r="E166" s="31" t="s">
        <v>335</v>
      </c>
      <c r="F166" s="10">
        <v>44396</v>
      </c>
      <c r="G166" s="28" t="s">
        <v>253</v>
      </c>
      <c r="H166" s="31" t="s">
        <v>333</v>
      </c>
      <c r="I166" s="24">
        <v>19036.560000000001</v>
      </c>
      <c r="J166" s="24">
        <f>9786.27-129</f>
        <v>9657.27</v>
      </c>
      <c r="K166" s="17">
        <f t="shared" si="20"/>
        <v>0.4926987859151023</v>
      </c>
      <c r="L166" s="24">
        <v>2234.64</v>
      </c>
      <c r="M166" s="17">
        <f t="shared" si="21"/>
        <v>0.11738675474980773</v>
      </c>
      <c r="N166" s="24">
        <v>897.46</v>
      </c>
      <c r="O166" s="25">
        <v>0</v>
      </c>
      <c r="P166" s="25">
        <v>307.5</v>
      </c>
      <c r="Q166" s="12"/>
    </row>
    <row r="167" spans="1:17" s="2" customFormat="1" ht="15.75" hidden="1" x14ac:dyDescent="0.25">
      <c r="A167" s="33"/>
      <c r="B167" s="31">
        <f t="shared" si="22"/>
        <v>163</v>
      </c>
      <c r="C167" s="31" t="s">
        <v>31</v>
      </c>
      <c r="D167" s="31" t="s">
        <v>43</v>
      </c>
      <c r="E167" s="31" t="s">
        <v>335</v>
      </c>
      <c r="F167" s="10">
        <v>44359</v>
      </c>
      <c r="G167" s="28" t="s">
        <v>254</v>
      </c>
      <c r="H167" s="31" t="s">
        <v>333</v>
      </c>
      <c r="I167" s="24">
        <v>14776.36</v>
      </c>
      <c r="J167" s="24">
        <v>7276.01</v>
      </c>
      <c r="K167" s="17">
        <f t="shared" si="20"/>
        <v>0.50759117942443199</v>
      </c>
      <c r="L167" s="24">
        <v>1417.53</v>
      </c>
      <c r="M167" s="17">
        <f t="shared" si="21"/>
        <v>9.5932286435901667E-2</v>
      </c>
      <c r="N167" s="24">
        <v>856.86</v>
      </c>
      <c r="O167" s="25">
        <v>0</v>
      </c>
      <c r="P167" s="25">
        <v>239.1</v>
      </c>
      <c r="Q167" s="12"/>
    </row>
    <row r="168" spans="1:17" s="2" customFormat="1" ht="15.75" hidden="1" x14ac:dyDescent="0.25">
      <c r="A168" s="33"/>
      <c r="B168" s="31">
        <f t="shared" si="22"/>
        <v>164</v>
      </c>
      <c r="C168" s="31" t="s">
        <v>31</v>
      </c>
      <c r="D168" s="31" t="s">
        <v>99</v>
      </c>
      <c r="E168" s="31" t="s">
        <v>335</v>
      </c>
      <c r="F168" s="10">
        <v>44412</v>
      </c>
      <c r="G168" s="28" t="s">
        <v>255</v>
      </c>
      <c r="H168" s="31" t="s">
        <v>18</v>
      </c>
      <c r="I168" s="24">
        <v>32444.959999999999</v>
      </c>
      <c r="J168" s="24">
        <v>17320.87</v>
      </c>
      <c r="K168" s="17">
        <f t="shared" si="20"/>
        <v>0.46614605165178197</v>
      </c>
      <c r="L168" s="24">
        <v>3506.84</v>
      </c>
      <c r="M168" s="17">
        <f t="shared" si="21"/>
        <v>0.10808581671852886</v>
      </c>
      <c r="N168" s="24">
        <v>778</v>
      </c>
      <c r="O168" s="25">
        <v>0</v>
      </c>
      <c r="P168" s="25">
        <v>0</v>
      </c>
      <c r="Q168" s="12"/>
    </row>
    <row r="169" spans="1:17" s="2" customFormat="1" ht="15.75" hidden="1" x14ac:dyDescent="0.25">
      <c r="A169" s="33"/>
      <c r="B169" s="31">
        <f t="shared" si="22"/>
        <v>165</v>
      </c>
      <c r="C169" s="31" t="s">
        <v>115</v>
      </c>
      <c r="D169" s="31" t="s">
        <v>99</v>
      </c>
      <c r="E169" s="31" t="s">
        <v>334</v>
      </c>
      <c r="F169" s="10">
        <v>44316</v>
      </c>
      <c r="G169" s="28" t="s">
        <v>256</v>
      </c>
      <c r="H169" s="31" t="s">
        <v>333</v>
      </c>
      <c r="I169" s="24">
        <v>27394.080000000002</v>
      </c>
      <c r="J169" s="24">
        <v>16954.599999999999</v>
      </c>
      <c r="K169" s="17">
        <f t="shared" si="20"/>
        <v>0.38108525637656027</v>
      </c>
      <c r="L169" s="24">
        <v>1910.02</v>
      </c>
      <c r="M169" s="17">
        <f t="shared" si="21"/>
        <v>6.9723823541436691E-2</v>
      </c>
      <c r="N169" s="24">
        <v>-2303.9699999999998</v>
      </c>
      <c r="O169" s="25">
        <v>135.88</v>
      </c>
      <c r="P169" s="25">
        <v>855</v>
      </c>
      <c r="Q169" s="12"/>
    </row>
    <row r="170" spans="1:17" s="2" customFormat="1" ht="15.75" hidden="1" x14ac:dyDescent="0.25">
      <c r="A170" s="33"/>
      <c r="B170" s="31">
        <f t="shared" si="22"/>
        <v>166</v>
      </c>
      <c r="C170" s="31" t="s">
        <v>31</v>
      </c>
      <c r="D170" s="31" t="s">
        <v>99</v>
      </c>
      <c r="E170" s="31" t="s">
        <v>335</v>
      </c>
      <c r="F170" s="10">
        <v>44518</v>
      </c>
      <c r="G170" s="28" t="s">
        <v>258</v>
      </c>
      <c r="H170" s="31" t="s">
        <v>18</v>
      </c>
      <c r="I170" s="24">
        <v>31054.46</v>
      </c>
      <c r="J170" s="24">
        <v>13116.37</v>
      </c>
      <c r="K170" s="17">
        <f t="shared" si="20"/>
        <v>0.57763329325320734</v>
      </c>
      <c r="L170" s="24">
        <v>4298.95</v>
      </c>
      <c r="M170" s="17">
        <f t="shared" si="21"/>
        <v>0.13843261161198744</v>
      </c>
      <c r="N170" s="24">
        <v>3452.76</v>
      </c>
      <c r="O170" s="25">
        <v>0</v>
      </c>
      <c r="P170" s="25">
        <v>1005</v>
      </c>
      <c r="Q170" s="12"/>
    </row>
    <row r="171" spans="1:17" s="2" customFormat="1" ht="15.75" hidden="1" x14ac:dyDescent="0.25">
      <c r="A171" s="33"/>
      <c r="B171" s="31">
        <f t="shared" si="22"/>
        <v>167</v>
      </c>
      <c r="C171" s="31" t="s">
        <v>115</v>
      </c>
      <c r="D171" s="31" t="s">
        <v>26</v>
      </c>
      <c r="E171" s="31" t="s">
        <v>27</v>
      </c>
      <c r="F171" s="10">
        <v>44421</v>
      </c>
      <c r="G171" s="28" t="s">
        <v>259</v>
      </c>
      <c r="H171" s="31" t="s">
        <v>192</v>
      </c>
      <c r="I171" s="24">
        <v>26929.77</v>
      </c>
      <c r="J171" s="24">
        <v>9123.2000000000007</v>
      </c>
      <c r="K171" s="17">
        <f t="shared" si="20"/>
        <v>0.66122250579934394</v>
      </c>
      <c r="L171" s="24">
        <v>3357.51</v>
      </c>
      <c r="M171" s="17">
        <f t="shared" si="21"/>
        <v>0.12467651970291614</v>
      </c>
      <c r="N171" s="24">
        <v>1134.07</v>
      </c>
      <c r="O171" s="25">
        <v>500</v>
      </c>
      <c r="P171" s="25">
        <v>15</v>
      </c>
      <c r="Q171" s="12"/>
    </row>
    <row r="172" spans="1:17" s="2" customFormat="1" ht="15.75" hidden="1" x14ac:dyDescent="0.25">
      <c r="A172" s="33"/>
      <c r="B172" s="31">
        <f t="shared" si="22"/>
        <v>168</v>
      </c>
      <c r="C172" s="31" t="s">
        <v>31</v>
      </c>
      <c r="D172" s="31" t="s">
        <v>43</v>
      </c>
      <c r="E172" s="31" t="s">
        <v>334</v>
      </c>
      <c r="F172" s="10">
        <v>44513</v>
      </c>
      <c r="G172" s="28" t="s">
        <v>260</v>
      </c>
      <c r="H172" s="31" t="s">
        <v>16</v>
      </c>
      <c r="I172" s="24">
        <v>7456.78</v>
      </c>
      <c r="J172" s="24">
        <v>3186.56</v>
      </c>
      <c r="K172" s="17">
        <f t="shared" ref="K172:K219" si="23">(I172-J172)/I172</f>
        <v>0.57266273109840971</v>
      </c>
      <c r="L172" s="24">
        <v>1017.75</v>
      </c>
      <c r="M172" s="17">
        <f t="shared" ref="M172:M219" si="24">L172/I172</f>
        <v>0.13648652635588016</v>
      </c>
      <c r="N172" s="24">
        <v>500.18</v>
      </c>
      <c r="O172" s="25">
        <v>100</v>
      </c>
      <c r="P172" s="25">
        <v>0</v>
      </c>
      <c r="Q172" s="12"/>
    </row>
    <row r="173" spans="1:17" s="2" customFormat="1" ht="15.75" hidden="1" x14ac:dyDescent="0.25">
      <c r="A173" s="33"/>
      <c r="B173" s="31">
        <f t="shared" si="22"/>
        <v>169</v>
      </c>
      <c r="C173" s="31" t="s">
        <v>31</v>
      </c>
      <c r="D173" s="31" t="s">
        <v>43</v>
      </c>
      <c r="E173" s="31" t="s">
        <v>335</v>
      </c>
      <c r="F173" s="10">
        <v>44441</v>
      </c>
      <c r="G173" s="28" t="s">
        <v>261</v>
      </c>
      <c r="H173" s="31" t="s">
        <v>16</v>
      </c>
      <c r="I173" s="24">
        <v>8469.06</v>
      </c>
      <c r="J173" s="24">
        <v>3102.78</v>
      </c>
      <c r="K173" s="17">
        <f t="shared" si="23"/>
        <v>0.63363348470786596</v>
      </c>
      <c r="L173" s="24">
        <v>1322.85</v>
      </c>
      <c r="M173" s="17">
        <f t="shared" si="24"/>
        <v>0.15619797238418431</v>
      </c>
      <c r="N173" s="24">
        <v>1009.86</v>
      </c>
      <c r="O173" s="25">
        <v>100</v>
      </c>
      <c r="P173" s="25">
        <v>0</v>
      </c>
      <c r="Q173" s="12"/>
    </row>
    <row r="174" spans="1:17" s="2" customFormat="1" ht="15.75" hidden="1" x14ac:dyDescent="0.25">
      <c r="A174" s="33"/>
      <c r="B174" s="31">
        <f t="shared" si="22"/>
        <v>170</v>
      </c>
      <c r="C174" s="31" t="s">
        <v>115</v>
      </c>
      <c r="D174" s="31" t="s">
        <v>34</v>
      </c>
      <c r="E174" s="31" t="s">
        <v>27</v>
      </c>
      <c r="F174" s="10">
        <v>44421</v>
      </c>
      <c r="G174" s="28" t="s">
        <v>262</v>
      </c>
      <c r="H174" s="31" t="s">
        <v>14</v>
      </c>
      <c r="I174" s="24">
        <v>20429.48</v>
      </c>
      <c r="J174" s="24">
        <v>10774.86</v>
      </c>
      <c r="K174" s="17">
        <f t="shared" si="23"/>
        <v>0.47258275785776238</v>
      </c>
      <c r="L174" s="24">
        <v>1983.51</v>
      </c>
      <c r="M174" s="17">
        <f t="shared" si="24"/>
        <v>9.7090576950563598E-2</v>
      </c>
      <c r="N174" s="24">
        <v>531.28</v>
      </c>
      <c r="O174" s="25">
        <v>0</v>
      </c>
      <c r="P174" s="25">
        <v>0</v>
      </c>
      <c r="Q174" s="12"/>
    </row>
    <row r="175" spans="1:17" s="2" customFormat="1" ht="15.75" hidden="1" x14ac:dyDescent="0.25">
      <c r="A175" s="33"/>
      <c r="B175" s="31">
        <f t="shared" si="22"/>
        <v>171</v>
      </c>
      <c r="C175" s="31" t="s">
        <v>31</v>
      </c>
      <c r="D175" s="31" t="s">
        <v>34</v>
      </c>
      <c r="E175" s="31" t="s">
        <v>27</v>
      </c>
      <c r="F175" s="10">
        <v>44506</v>
      </c>
      <c r="G175" s="28" t="s">
        <v>263</v>
      </c>
      <c r="H175" s="31" t="s">
        <v>14</v>
      </c>
      <c r="I175" s="24">
        <v>16770.34</v>
      </c>
      <c r="J175" s="24">
        <v>7395.98</v>
      </c>
      <c r="K175" s="17">
        <f t="shared" si="23"/>
        <v>0.55898449286060992</v>
      </c>
      <c r="L175" s="24">
        <v>2125.84</v>
      </c>
      <c r="M175" s="17">
        <f t="shared" si="24"/>
        <v>0.12676189033734558</v>
      </c>
      <c r="N175" s="24">
        <v>1625.14</v>
      </c>
      <c r="O175" s="25">
        <v>0</v>
      </c>
      <c r="P175" s="25">
        <v>0</v>
      </c>
      <c r="Q175" s="12"/>
    </row>
    <row r="176" spans="1:17" s="2" customFormat="1" ht="15.75" hidden="1" x14ac:dyDescent="0.25">
      <c r="A176" s="33"/>
      <c r="B176" s="31">
        <f t="shared" si="22"/>
        <v>172</v>
      </c>
      <c r="C176" s="31" t="s">
        <v>31</v>
      </c>
      <c r="D176" s="31" t="s">
        <v>43</v>
      </c>
      <c r="E176" s="31" t="s">
        <v>334</v>
      </c>
      <c r="F176" s="10">
        <v>44447</v>
      </c>
      <c r="G176" s="28" t="s">
        <v>264</v>
      </c>
      <c r="H176" s="31" t="s">
        <v>18</v>
      </c>
      <c r="I176" s="24">
        <v>23282.5</v>
      </c>
      <c r="J176" s="24">
        <v>9944.8799999999992</v>
      </c>
      <c r="K176" s="17">
        <f t="shared" si="23"/>
        <v>0.57286030280253408</v>
      </c>
      <c r="L176" s="24">
        <v>3163.69</v>
      </c>
      <c r="M176" s="17">
        <f t="shared" si="24"/>
        <v>0.13588274455062815</v>
      </c>
      <c r="N176" s="24">
        <v>2211.1</v>
      </c>
      <c r="O176" s="25">
        <v>0</v>
      </c>
      <c r="P176" s="25">
        <v>328.86</v>
      </c>
      <c r="Q176" s="12"/>
    </row>
    <row r="177" spans="1:17" s="2" customFormat="1" ht="15.75" hidden="1" x14ac:dyDescent="0.25">
      <c r="A177" s="33"/>
      <c r="B177" s="31">
        <f t="shared" si="22"/>
        <v>173</v>
      </c>
      <c r="C177" s="31" t="s">
        <v>31</v>
      </c>
      <c r="D177" s="31" t="s">
        <v>43</v>
      </c>
      <c r="E177" s="31" t="s">
        <v>334</v>
      </c>
      <c r="F177" s="10">
        <v>44441</v>
      </c>
      <c r="G177" s="28" t="s">
        <v>265</v>
      </c>
      <c r="H177" s="31" t="s">
        <v>16</v>
      </c>
      <c r="I177" s="24">
        <v>5153.1899999999996</v>
      </c>
      <c r="J177" s="24">
        <v>2232.02</v>
      </c>
      <c r="K177" s="17">
        <f t="shared" si="23"/>
        <v>0.56686634880530307</v>
      </c>
      <c r="L177" s="24">
        <v>760.79</v>
      </c>
      <c r="M177" s="17">
        <f t="shared" si="24"/>
        <v>0.14763476603812395</v>
      </c>
      <c r="N177" s="24">
        <v>613.69000000000005</v>
      </c>
      <c r="O177" s="25">
        <v>0</v>
      </c>
      <c r="P177" s="25">
        <v>83.37</v>
      </c>
      <c r="Q177" s="12"/>
    </row>
    <row r="178" spans="1:17" s="2" customFormat="1" ht="15.75" hidden="1" x14ac:dyDescent="0.25">
      <c r="A178" s="33"/>
      <c r="B178" s="31">
        <f t="shared" si="22"/>
        <v>174</v>
      </c>
      <c r="C178" s="31" t="s">
        <v>31</v>
      </c>
      <c r="D178" s="31" t="s">
        <v>43</v>
      </c>
      <c r="E178" s="31" t="s">
        <v>334</v>
      </c>
      <c r="F178" s="10">
        <v>44440</v>
      </c>
      <c r="G178" s="28" t="s">
        <v>266</v>
      </c>
      <c r="H178" s="31" t="s">
        <v>333</v>
      </c>
      <c r="I178" s="24">
        <v>24617.38</v>
      </c>
      <c r="J178" s="24">
        <v>10095.6</v>
      </c>
      <c r="K178" s="17">
        <f t="shared" si="23"/>
        <v>0.58989949377228612</v>
      </c>
      <c r="L178" s="24">
        <v>3095.37</v>
      </c>
      <c r="M178" s="17">
        <f t="shared" si="24"/>
        <v>0.12573921351500442</v>
      </c>
      <c r="N178" s="24">
        <v>734.78</v>
      </c>
      <c r="O178" s="25">
        <v>200</v>
      </c>
      <c r="P178" s="25">
        <v>231.36</v>
      </c>
      <c r="Q178" s="12"/>
    </row>
    <row r="179" spans="1:17" s="2" customFormat="1" ht="15.75" hidden="1" x14ac:dyDescent="0.25">
      <c r="A179" s="33"/>
      <c r="B179" s="31">
        <f t="shared" si="22"/>
        <v>175</v>
      </c>
      <c r="C179" s="31" t="s">
        <v>31</v>
      </c>
      <c r="D179" s="31" t="s">
        <v>43</v>
      </c>
      <c r="E179" s="31" t="s">
        <v>335</v>
      </c>
      <c r="F179" s="10">
        <v>44518</v>
      </c>
      <c r="G179" s="28" t="s">
        <v>267</v>
      </c>
      <c r="H179" s="31" t="s">
        <v>16</v>
      </c>
      <c r="I179" s="24">
        <v>7972.19</v>
      </c>
      <c r="J179" s="24">
        <v>3271.56</v>
      </c>
      <c r="K179" s="17">
        <f t="shared" si="23"/>
        <v>0.58962844588500773</v>
      </c>
      <c r="L179" s="24">
        <v>1234.54</v>
      </c>
      <c r="M179" s="17">
        <f t="shared" si="24"/>
        <v>0.15485581753570851</v>
      </c>
      <c r="N179" s="24">
        <v>1163.29</v>
      </c>
      <c r="O179" s="25">
        <v>0</v>
      </c>
      <c r="P179" s="25">
        <v>0</v>
      </c>
      <c r="Q179" s="12"/>
    </row>
    <row r="180" spans="1:17" s="2" customFormat="1" ht="15.75" hidden="1" x14ac:dyDescent="0.25">
      <c r="A180" s="33"/>
      <c r="B180" s="31">
        <f t="shared" si="22"/>
        <v>176</v>
      </c>
      <c r="C180" s="31" t="s">
        <v>31</v>
      </c>
      <c r="D180" s="31" t="s">
        <v>34</v>
      </c>
      <c r="E180" s="31" t="s">
        <v>97</v>
      </c>
      <c r="F180" s="10">
        <v>44421</v>
      </c>
      <c r="G180" s="28" t="s">
        <v>269</v>
      </c>
      <c r="H180" s="31" t="s">
        <v>20</v>
      </c>
      <c r="I180" s="24">
        <v>8776.83</v>
      </c>
      <c r="J180" s="24">
        <v>4222.99</v>
      </c>
      <c r="K180" s="17">
        <f t="shared" si="23"/>
        <v>0.5188479211742737</v>
      </c>
      <c r="L180" s="24">
        <v>657.83</v>
      </c>
      <c r="M180" s="17">
        <f t="shared" si="24"/>
        <v>7.4950751011469974E-2</v>
      </c>
      <c r="N180" s="24">
        <v>-488.37</v>
      </c>
      <c r="O180" s="25">
        <v>100</v>
      </c>
      <c r="P180" s="25">
        <v>284.04000000000002</v>
      </c>
      <c r="Q180" s="12"/>
    </row>
    <row r="181" spans="1:17" s="2" customFormat="1" ht="15.75" hidden="1" x14ac:dyDescent="0.25">
      <c r="A181" s="33"/>
      <c r="B181" s="31">
        <f t="shared" si="22"/>
        <v>177</v>
      </c>
      <c r="C181" s="31" t="s">
        <v>31</v>
      </c>
      <c r="D181" s="31" t="s">
        <v>34</v>
      </c>
      <c r="E181" s="31" t="s">
        <v>97</v>
      </c>
      <c r="F181" s="10">
        <v>44428</v>
      </c>
      <c r="G181" s="28" t="s">
        <v>268</v>
      </c>
      <c r="H181" s="31" t="s">
        <v>223</v>
      </c>
      <c r="I181" s="24">
        <v>7851.68</v>
      </c>
      <c r="J181" s="24">
        <v>4044.39</v>
      </c>
      <c r="K181" s="17">
        <f t="shared" si="23"/>
        <v>0.48490132048173135</v>
      </c>
      <c r="L181" s="24">
        <v>506.2</v>
      </c>
      <c r="M181" s="17">
        <f t="shared" si="24"/>
        <v>6.4470278972143538E-2</v>
      </c>
      <c r="N181" s="24">
        <v>-697.42</v>
      </c>
      <c r="O181" s="25">
        <v>0</v>
      </c>
      <c r="P181" s="25">
        <v>254.1</v>
      </c>
      <c r="Q181" s="12"/>
    </row>
    <row r="182" spans="1:17" s="2" customFormat="1" ht="15.75" hidden="1" x14ac:dyDescent="0.25">
      <c r="A182" s="33"/>
      <c r="B182" s="31">
        <f t="shared" si="22"/>
        <v>178</v>
      </c>
      <c r="C182" s="31" t="s">
        <v>31</v>
      </c>
      <c r="D182" s="31" t="s">
        <v>43</v>
      </c>
      <c r="E182" s="31" t="s">
        <v>97</v>
      </c>
      <c r="F182" s="10">
        <v>44475</v>
      </c>
      <c r="G182" s="28" t="s">
        <v>270</v>
      </c>
      <c r="H182" s="31" t="s">
        <v>223</v>
      </c>
      <c r="I182" s="24">
        <v>5487.83</v>
      </c>
      <c r="J182" s="24">
        <v>3058.71</v>
      </c>
      <c r="K182" s="17">
        <f t="shared" si="23"/>
        <v>0.44263761814779246</v>
      </c>
      <c r="L182" s="24">
        <v>492.76</v>
      </c>
      <c r="M182" s="17">
        <f t="shared" si="24"/>
        <v>8.9791411177095506E-2</v>
      </c>
      <c r="N182" s="24">
        <v>-329.87</v>
      </c>
      <c r="O182" s="25">
        <v>100</v>
      </c>
      <c r="P182" s="25">
        <v>177.6</v>
      </c>
      <c r="Q182" s="12"/>
    </row>
    <row r="183" spans="1:17" s="2" customFormat="1" ht="15.75" hidden="1" x14ac:dyDescent="0.25">
      <c r="A183" s="33"/>
      <c r="B183" s="31">
        <f t="shared" si="22"/>
        <v>179</v>
      </c>
      <c r="C183" s="31" t="s">
        <v>82</v>
      </c>
      <c r="D183" s="31" t="s">
        <v>43</v>
      </c>
      <c r="E183" s="31" t="s">
        <v>335</v>
      </c>
      <c r="F183" s="10">
        <v>44531</v>
      </c>
      <c r="G183" s="28" t="s">
        <v>271</v>
      </c>
      <c r="H183" s="31" t="s">
        <v>16</v>
      </c>
      <c r="I183" s="24">
        <v>12493.82</v>
      </c>
      <c r="J183" s="24">
        <v>5128.32</v>
      </c>
      <c r="K183" s="17">
        <f t="shared" si="23"/>
        <v>0.58953146435597759</v>
      </c>
      <c r="L183" s="24">
        <v>1881.36</v>
      </c>
      <c r="M183" s="17">
        <f t="shared" si="24"/>
        <v>0.1505832483579882</v>
      </c>
      <c r="N183" s="24">
        <v>1472.32</v>
      </c>
      <c r="O183" s="25">
        <v>0</v>
      </c>
      <c r="P183" s="25">
        <v>0</v>
      </c>
      <c r="Q183" s="12"/>
    </row>
    <row r="184" spans="1:17" s="2" customFormat="1" ht="15.75" hidden="1" x14ac:dyDescent="0.25">
      <c r="A184" s="33"/>
      <c r="B184" s="31">
        <f t="shared" si="22"/>
        <v>180</v>
      </c>
      <c r="C184" s="31" t="s">
        <v>31</v>
      </c>
      <c r="D184" s="31" t="s">
        <v>43</v>
      </c>
      <c r="E184" s="31" t="s">
        <v>335</v>
      </c>
      <c r="F184" s="10">
        <v>44478</v>
      </c>
      <c r="G184" s="28" t="s">
        <v>272</v>
      </c>
      <c r="H184" s="31" t="s">
        <v>16</v>
      </c>
      <c r="I184" s="24">
        <v>9805.7900000000009</v>
      </c>
      <c r="J184" s="24">
        <v>4503.32</v>
      </c>
      <c r="K184" s="17">
        <f t="shared" si="23"/>
        <v>0.54074888407767252</v>
      </c>
      <c r="L184" s="24">
        <v>1027.08</v>
      </c>
      <c r="M184" s="17">
        <f t="shared" si="24"/>
        <v>0.10474219823186096</v>
      </c>
      <c r="N184" s="24">
        <v>297.69</v>
      </c>
      <c r="O184" s="25">
        <v>200</v>
      </c>
      <c r="P184" s="25">
        <v>0</v>
      </c>
      <c r="Q184" s="12"/>
    </row>
    <row r="185" spans="1:17" s="2" customFormat="1" ht="15.75" hidden="1" x14ac:dyDescent="0.25">
      <c r="A185" s="33"/>
      <c r="B185" s="31">
        <f t="shared" si="22"/>
        <v>181</v>
      </c>
      <c r="C185" s="31" t="s">
        <v>31</v>
      </c>
      <c r="D185" s="31" t="s">
        <v>34</v>
      </c>
      <c r="E185" s="31" t="s">
        <v>27</v>
      </c>
      <c r="F185" s="10">
        <v>44470</v>
      </c>
      <c r="G185" s="28" t="s">
        <v>273</v>
      </c>
      <c r="H185" s="31" t="s">
        <v>14</v>
      </c>
      <c r="I185" s="24">
        <v>27966.63</v>
      </c>
      <c r="J185" s="24">
        <v>10057.73</v>
      </c>
      <c r="K185" s="17">
        <f t="shared" si="23"/>
        <v>0.6403667513747634</v>
      </c>
      <c r="L185" s="24">
        <v>3562</v>
      </c>
      <c r="M185" s="17">
        <f t="shared" si="24"/>
        <v>0.12736607878746919</v>
      </c>
      <c r="N185" s="24">
        <v>2334.73</v>
      </c>
      <c r="O185" s="25">
        <v>200</v>
      </c>
      <c r="P185" s="25">
        <v>0</v>
      </c>
      <c r="Q185" s="12"/>
    </row>
    <row r="186" spans="1:17" s="2" customFormat="1" ht="15.75" hidden="1" x14ac:dyDescent="0.25">
      <c r="A186" s="33"/>
      <c r="B186" s="31">
        <f t="shared" si="22"/>
        <v>182</v>
      </c>
      <c r="C186" s="31" t="s">
        <v>82</v>
      </c>
      <c r="D186" s="31" t="s">
        <v>34</v>
      </c>
      <c r="E186" s="31" t="s">
        <v>97</v>
      </c>
      <c r="F186" s="10">
        <v>44386</v>
      </c>
      <c r="G186" s="28" t="s">
        <v>274</v>
      </c>
      <c r="H186" s="31" t="s">
        <v>223</v>
      </c>
      <c r="I186" s="24">
        <v>12393.75</v>
      </c>
      <c r="J186" s="24">
        <v>7347.95</v>
      </c>
      <c r="K186" s="17">
        <f t="shared" si="23"/>
        <v>0.40712455874936965</v>
      </c>
      <c r="L186" s="24">
        <v>583.41999999999996</v>
      </c>
      <c r="M186" s="17">
        <f t="shared" si="24"/>
        <v>4.7073726676752393E-2</v>
      </c>
      <c r="N186" s="24">
        <v>2932.05</v>
      </c>
      <c r="O186" s="25">
        <v>500</v>
      </c>
      <c r="P186" s="25">
        <v>177</v>
      </c>
      <c r="Q186" s="12"/>
    </row>
    <row r="187" spans="1:17" s="2" customFormat="1" ht="15.75" hidden="1" x14ac:dyDescent="0.25">
      <c r="A187" s="33"/>
      <c r="B187" s="31">
        <f t="shared" si="22"/>
        <v>183</v>
      </c>
      <c r="C187" s="31" t="s">
        <v>31</v>
      </c>
      <c r="D187" s="31" t="s">
        <v>99</v>
      </c>
      <c r="E187" s="31" t="s">
        <v>334</v>
      </c>
      <c r="F187" s="10">
        <v>44470</v>
      </c>
      <c r="G187" s="28" t="s">
        <v>275</v>
      </c>
      <c r="H187" s="31" t="s">
        <v>18</v>
      </c>
      <c r="I187" s="24">
        <v>20393.97</v>
      </c>
      <c r="J187" s="24">
        <f>11100.95-4222.8-12-2742.38+1758+2743</f>
        <v>8624.77</v>
      </c>
      <c r="K187" s="17">
        <f t="shared" si="23"/>
        <v>0.57709215027775362</v>
      </c>
      <c r="L187" s="24">
        <v>2682.63</v>
      </c>
      <c r="M187" s="17">
        <f t="shared" si="24"/>
        <v>0.13154035236886197</v>
      </c>
      <c r="N187" s="24">
        <v>1730.57</v>
      </c>
      <c r="O187" s="25">
        <v>0</v>
      </c>
      <c r="P187" s="25">
        <v>0</v>
      </c>
      <c r="Q187" s="12"/>
    </row>
    <row r="188" spans="1:17" s="2" customFormat="1" ht="15.75" hidden="1" x14ac:dyDescent="0.25">
      <c r="A188" s="33"/>
      <c r="B188" s="31">
        <f t="shared" si="22"/>
        <v>184</v>
      </c>
      <c r="C188" s="31" t="s">
        <v>31</v>
      </c>
      <c r="D188" s="31" t="s">
        <v>26</v>
      </c>
      <c r="E188" s="31" t="s">
        <v>27</v>
      </c>
      <c r="F188" s="10">
        <v>44491</v>
      </c>
      <c r="G188" s="28" t="s">
        <v>276</v>
      </c>
      <c r="H188" s="31" t="s">
        <v>14</v>
      </c>
      <c r="I188" s="24">
        <v>7823.08</v>
      </c>
      <c r="J188" s="24">
        <v>4452.41</v>
      </c>
      <c r="K188" s="17">
        <f t="shared" si="23"/>
        <v>0.43086226908072012</v>
      </c>
      <c r="L188" s="24">
        <v>451.79</v>
      </c>
      <c r="M188" s="17">
        <f t="shared" si="24"/>
        <v>5.7750911405737897E-2</v>
      </c>
      <c r="N188" s="24">
        <v>-506.92</v>
      </c>
      <c r="O188" s="25">
        <v>0</v>
      </c>
      <c r="P188" s="25">
        <v>0</v>
      </c>
      <c r="Q188" s="12"/>
    </row>
    <row r="189" spans="1:17" s="2" customFormat="1" ht="15.75" hidden="1" x14ac:dyDescent="0.25">
      <c r="A189" s="33"/>
      <c r="B189" s="31">
        <f t="shared" si="22"/>
        <v>185</v>
      </c>
      <c r="C189" s="31" t="s">
        <v>115</v>
      </c>
      <c r="D189" s="31" t="s">
        <v>34</v>
      </c>
      <c r="E189" s="31" t="s">
        <v>97</v>
      </c>
      <c r="F189" s="10">
        <v>44488</v>
      </c>
      <c r="G189" s="28" t="s">
        <v>277</v>
      </c>
      <c r="H189" s="31" t="s">
        <v>13</v>
      </c>
      <c r="I189" s="24">
        <v>16610.099999999999</v>
      </c>
      <c r="J189" s="24">
        <v>8580.3700000000008</v>
      </c>
      <c r="K189" s="17">
        <f t="shared" si="23"/>
        <v>0.48342454289859776</v>
      </c>
      <c r="L189" s="24">
        <v>1413.41</v>
      </c>
      <c r="M189" s="17">
        <f t="shared" si="24"/>
        <v>8.5093407023437553E-2</v>
      </c>
      <c r="N189" s="24">
        <v>753.7</v>
      </c>
      <c r="O189" s="25">
        <v>0</v>
      </c>
      <c r="P189" s="25">
        <v>45</v>
      </c>
      <c r="Q189" s="12"/>
    </row>
    <row r="190" spans="1:17" s="2" customFormat="1" ht="15.75" hidden="1" x14ac:dyDescent="0.25">
      <c r="A190" s="33"/>
      <c r="B190" s="31">
        <f t="shared" si="22"/>
        <v>186</v>
      </c>
      <c r="C190" s="31" t="s">
        <v>31</v>
      </c>
      <c r="D190" s="31" t="s">
        <v>34</v>
      </c>
      <c r="E190" s="31" t="s">
        <v>27</v>
      </c>
      <c r="F190" s="10">
        <v>44327</v>
      </c>
      <c r="G190" s="28" t="s">
        <v>278</v>
      </c>
      <c r="H190" s="31" t="s">
        <v>195</v>
      </c>
      <c r="I190" s="24">
        <v>39727.46</v>
      </c>
      <c r="J190" s="24">
        <v>18708.240000000002</v>
      </c>
      <c r="K190" s="17">
        <f t="shared" si="23"/>
        <v>0.52908542353324373</v>
      </c>
      <c r="L190" s="24">
        <v>5583.73</v>
      </c>
      <c r="M190" s="17">
        <f t="shared" si="24"/>
        <v>0.14055089351295047</v>
      </c>
      <c r="N190" s="24">
        <v>6732.26</v>
      </c>
      <c r="O190" s="25">
        <v>0</v>
      </c>
      <c r="P190" s="25">
        <v>1285.58</v>
      </c>
      <c r="Q190" s="12"/>
    </row>
    <row r="191" spans="1:17" s="2" customFormat="1" ht="15.75" hidden="1" x14ac:dyDescent="0.25">
      <c r="A191" s="33"/>
      <c r="B191" s="31">
        <f t="shared" si="22"/>
        <v>187</v>
      </c>
      <c r="C191" s="31" t="s">
        <v>31</v>
      </c>
      <c r="D191" s="31" t="s">
        <v>34</v>
      </c>
      <c r="E191" s="31" t="s">
        <v>97</v>
      </c>
      <c r="F191" s="10">
        <v>44489</v>
      </c>
      <c r="G191" s="28" t="s">
        <v>279</v>
      </c>
      <c r="H191" s="31" t="s">
        <v>13</v>
      </c>
      <c r="I191" s="24">
        <v>8568.25</v>
      </c>
      <c r="J191" s="24">
        <v>5802.05</v>
      </c>
      <c r="K191" s="17">
        <f t="shared" si="23"/>
        <v>0.32284305429930266</v>
      </c>
      <c r="L191" s="24">
        <f>336.83+142.38</f>
        <v>479.21</v>
      </c>
      <c r="M191" s="17">
        <f t="shared" si="24"/>
        <v>5.5928573512677618E-2</v>
      </c>
      <c r="N191" s="24">
        <v>-1238.75</v>
      </c>
      <c r="O191" s="25">
        <v>142.38</v>
      </c>
      <c r="P191" s="25">
        <v>0</v>
      </c>
      <c r="Q191" s="12"/>
    </row>
    <row r="192" spans="1:17" s="2" customFormat="1" ht="15.75" hidden="1" x14ac:dyDescent="0.25">
      <c r="A192" s="33"/>
      <c r="B192" s="31">
        <f t="shared" si="22"/>
        <v>188</v>
      </c>
      <c r="C192" s="31" t="s">
        <v>82</v>
      </c>
      <c r="D192" s="31" t="s">
        <v>34</v>
      </c>
      <c r="E192" s="31" t="s">
        <v>27</v>
      </c>
      <c r="F192" s="10">
        <v>44288</v>
      </c>
      <c r="G192" s="28" t="s">
        <v>280</v>
      </c>
      <c r="H192" s="31" t="s">
        <v>195</v>
      </c>
      <c r="I192" s="24">
        <v>32230.55</v>
      </c>
      <c r="J192" s="24">
        <v>16901.12</v>
      </c>
      <c r="K192" s="17">
        <f t="shared" si="23"/>
        <v>0.47561800838024793</v>
      </c>
      <c r="L192" s="24">
        <v>2176.66</v>
      </c>
      <c r="M192" s="17">
        <f t="shared" si="24"/>
        <v>6.7534063179188683E-2</v>
      </c>
      <c r="N192" s="24">
        <v>919.35</v>
      </c>
      <c r="O192" s="25">
        <v>0</v>
      </c>
      <c r="P192" s="25">
        <v>240</v>
      </c>
      <c r="Q192" s="12"/>
    </row>
    <row r="193" spans="1:21" s="2" customFormat="1" ht="15.75" hidden="1" x14ac:dyDescent="0.25">
      <c r="A193" s="33"/>
      <c r="B193" s="31">
        <f t="shared" si="22"/>
        <v>189</v>
      </c>
      <c r="C193" s="31" t="s">
        <v>115</v>
      </c>
      <c r="D193" s="31" t="s">
        <v>43</v>
      </c>
      <c r="E193" s="31" t="s">
        <v>27</v>
      </c>
      <c r="F193" s="10">
        <v>44568</v>
      </c>
      <c r="G193" s="28" t="s">
        <v>281</v>
      </c>
      <c r="H193" s="31" t="s">
        <v>33</v>
      </c>
      <c r="I193" s="24">
        <v>6478</v>
      </c>
      <c r="J193" s="24">
        <f>2199.92+29.97</f>
        <v>2229.89</v>
      </c>
      <c r="K193" s="17">
        <f t="shared" si="23"/>
        <v>0.65577493053411551</v>
      </c>
      <c r="L193" s="24">
        <v>1079.22</v>
      </c>
      <c r="M193" s="17">
        <f t="shared" si="24"/>
        <v>0.16659771534424206</v>
      </c>
      <c r="N193" s="24">
        <v>1122.3</v>
      </c>
      <c r="O193" s="25">
        <v>0</v>
      </c>
      <c r="P193" s="25">
        <v>0</v>
      </c>
      <c r="Q193" s="12"/>
    </row>
    <row r="194" spans="1:21" s="2" customFormat="1" ht="15.75" hidden="1" x14ac:dyDescent="0.25">
      <c r="A194" s="33"/>
      <c r="B194" s="31">
        <f t="shared" si="22"/>
        <v>190</v>
      </c>
      <c r="C194" s="31" t="s">
        <v>127</v>
      </c>
      <c r="D194" s="31" t="s">
        <v>26</v>
      </c>
      <c r="E194" s="31" t="s">
        <v>27</v>
      </c>
      <c r="F194" s="10">
        <v>44369</v>
      </c>
      <c r="G194" s="28" t="s">
        <v>282</v>
      </c>
      <c r="H194" s="31" t="s">
        <v>194</v>
      </c>
      <c r="I194" s="24">
        <v>25672.880000000001</v>
      </c>
      <c r="J194" s="24">
        <v>12625</v>
      </c>
      <c r="K194" s="17">
        <f t="shared" si="23"/>
        <v>0.50823592834150277</v>
      </c>
      <c r="L194" s="24">
        <v>2241.2399999999998</v>
      </c>
      <c r="M194" s="17">
        <f t="shared" si="24"/>
        <v>8.7299905581298229E-2</v>
      </c>
      <c r="N194" s="24">
        <v>724.88</v>
      </c>
      <c r="O194" s="25">
        <v>0</v>
      </c>
      <c r="P194" s="25">
        <v>0</v>
      </c>
      <c r="Q194" s="12"/>
    </row>
    <row r="195" spans="1:21" s="2" customFormat="1" ht="15.75" hidden="1" x14ac:dyDescent="0.25">
      <c r="A195" s="33"/>
      <c r="B195" s="31">
        <f t="shared" si="22"/>
        <v>191</v>
      </c>
      <c r="C195" s="31" t="s">
        <v>115</v>
      </c>
      <c r="D195" s="31" t="s">
        <v>34</v>
      </c>
      <c r="E195" s="31" t="s">
        <v>27</v>
      </c>
      <c r="F195" s="10">
        <v>44469</v>
      </c>
      <c r="G195" s="28" t="s">
        <v>283</v>
      </c>
      <c r="H195" s="31" t="s">
        <v>195</v>
      </c>
      <c r="I195" s="24">
        <v>13828.9</v>
      </c>
      <c r="J195" s="24">
        <v>7529.13</v>
      </c>
      <c r="K195" s="17">
        <f t="shared" si="23"/>
        <v>0.45555105612160041</v>
      </c>
      <c r="L195" s="24">
        <v>543.33000000000004</v>
      </c>
      <c r="M195" s="17">
        <f t="shared" si="24"/>
        <v>3.9289459031448634E-2</v>
      </c>
      <c r="N195" s="24">
        <v>-1293.9000000000001</v>
      </c>
      <c r="O195" s="25">
        <v>0</v>
      </c>
      <c r="P195" s="25">
        <v>15</v>
      </c>
      <c r="Q195" s="12"/>
    </row>
    <row r="196" spans="1:21" s="2" customFormat="1" ht="15.75" hidden="1" x14ac:dyDescent="0.25">
      <c r="A196" s="33"/>
      <c r="B196" s="31">
        <f t="shared" si="22"/>
        <v>192</v>
      </c>
      <c r="C196" s="31" t="s">
        <v>31</v>
      </c>
      <c r="D196" s="31" t="s">
        <v>43</v>
      </c>
      <c r="E196" s="31" t="s">
        <v>27</v>
      </c>
      <c r="F196" s="10">
        <v>44420</v>
      </c>
      <c r="G196" s="28" t="s">
        <v>284</v>
      </c>
      <c r="H196" s="31" t="s">
        <v>14</v>
      </c>
      <c r="I196" s="24">
        <v>14496.41</v>
      </c>
      <c r="J196" s="24">
        <v>6455.56</v>
      </c>
      <c r="K196" s="17">
        <f t="shared" si="23"/>
        <v>0.55467871010822678</v>
      </c>
      <c r="L196" s="24">
        <v>1680.17</v>
      </c>
      <c r="M196" s="17">
        <f t="shared" si="24"/>
        <v>0.11590248896106002</v>
      </c>
      <c r="N196" s="24">
        <v>904.11</v>
      </c>
      <c r="O196" s="25">
        <v>100</v>
      </c>
      <c r="P196" s="25">
        <v>469.14</v>
      </c>
      <c r="Q196" s="12"/>
    </row>
    <row r="197" spans="1:21" s="2" customFormat="1" ht="15.75" hidden="1" x14ac:dyDescent="0.25">
      <c r="A197" s="33"/>
      <c r="B197" s="31">
        <f t="shared" si="22"/>
        <v>193</v>
      </c>
      <c r="C197" s="31" t="s">
        <v>115</v>
      </c>
      <c r="D197" s="31" t="s">
        <v>99</v>
      </c>
      <c r="E197" s="31" t="s">
        <v>335</v>
      </c>
      <c r="F197" s="10">
        <v>44539</v>
      </c>
      <c r="G197" s="28" t="s">
        <v>285</v>
      </c>
      <c r="H197" s="31" t="s">
        <v>18</v>
      </c>
      <c r="I197" s="24">
        <v>35287.29</v>
      </c>
      <c r="J197" s="24">
        <v>15484.83</v>
      </c>
      <c r="K197" s="17">
        <f t="shared" si="23"/>
        <v>0.5611782599343843</v>
      </c>
      <c r="L197" s="24">
        <v>4381.4399999999996</v>
      </c>
      <c r="M197" s="17">
        <f t="shared" si="24"/>
        <v>0.12416481968436793</v>
      </c>
      <c r="N197" s="24">
        <v>2201.79</v>
      </c>
      <c r="O197" s="25">
        <v>0</v>
      </c>
      <c r="P197" s="25">
        <v>114</v>
      </c>
      <c r="Q197" s="12"/>
    </row>
    <row r="198" spans="1:21" s="2" customFormat="1" ht="15.75" hidden="1" x14ac:dyDescent="0.25">
      <c r="A198" s="33"/>
      <c r="B198" s="31">
        <f t="shared" si="22"/>
        <v>194</v>
      </c>
      <c r="C198" s="31" t="s">
        <v>31</v>
      </c>
      <c r="D198" s="31" t="s">
        <v>43</v>
      </c>
      <c r="E198" s="31" t="s">
        <v>97</v>
      </c>
      <c r="F198" s="10">
        <v>44385</v>
      </c>
      <c r="G198" s="28" t="s">
        <v>286</v>
      </c>
      <c r="H198" s="31" t="s">
        <v>20</v>
      </c>
      <c r="I198" s="24">
        <v>17300.580000000002</v>
      </c>
      <c r="J198" s="24">
        <v>8338.3799999999992</v>
      </c>
      <c r="K198" s="17">
        <f t="shared" si="23"/>
        <v>0.51802887533250341</v>
      </c>
      <c r="L198" s="24">
        <v>1401.51</v>
      </c>
      <c r="M198" s="17">
        <f t="shared" si="24"/>
        <v>8.1009422805478196E-2</v>
      </c>
      <c r="N198" s="24">
        <v>422.18</v>
      </c>
      <c r="O198" s="25">
        <v>0</v>
      </c>
      <c r="P198" s="25">
        <v>559.89</v>
      </c>
      <c r="Q198" s="12" t="s">
        <v>12</v>
      </c>
    </row>
    <row r="199" spans="1:21" s="2" customFormat="1" ht="15.75" hidden="1" x14ac:dyDescent="0.25">
      <c r="A199" s="33"/>
      <c r="B199" s="31">
        <f t="shared" si="22"/>
        <v>195</v>
      </c>
      <c r="C199" s="31" t="s">
        <v>31</v>
      </c>
      <c r="D199" s="31" t="s">
        <v>26</v>
      </c>
      <c r="E199" s="31" t="s">
        <v>27</v>
      </c>
      <c r="F199" s="10">
        <v>44476</v>
      </c>
      <c r="G199" s="28" t="s">
        <v>287</v>
      </c>
      <c r="H199" s="31" t="s">
        <v>192</v>
      </c>
      <c r="I199" s="24">
        <v>33668.6</v>
      </c>
      <c r="J199" s="24">
        <v>14289.2</v>
      </c>
      <c r="K199" s="17">
        <f t="shared" si="23"/>
        <v>0.57559268873668634</v>
      </c>
      <c r="L199" s="24">
        <v>3353.72</v>
      </c>
      <c r="M199" s="17">
        <f t="shared" si="24"/>
        <v>9.9609725382106773E-2</v>
      </c>
      <c r="N199" s="24">
        <v>1505.35</v>
      </c>
      <c r="O199" s="25">
        <v>400</v>
      </c>
      <c r="P199" s="25">
        <v>0</v>
      </c>
      <c r="Q199" s="12"/>
    </row>
    <row r="200" spans="1:21" s="2" customFormat="1" ht="15.75" hidden="1" x14ac:dyDescent="0.25">
      <c r="A200" s="33"/>
      <c r="B200" s="31">
        <f t="shared" si="22"/>
        <v>196</v>
      </c>
      <c r="C200" s="31" t="s">
        <v>31</v>
      </c>
      <c r="D200" s="31" t="s">
        <v>34</v>
      </c>
      <c r="E200" s="31" t="s">
        <v>27</v>
      </c>
      <c r="F200" s="10">
        <v>44401</v>
      </c>
      <c r="G200" s="28" t="s">
        <v>151</v>
      </c>
      <c r="H200" s="31" t="s">
        <v>195</v>
      </c>
      <c r="I200" s="24">
        <v>47185.17</v>
      </c>
      <c r="J200" s="24">
        <v>19757.349999999999</v>
      </c>
      <c r="K200" s="17">
        <f t="shared" si="23"/>
        <v>0.58128051673862791</v>
      </c>
      <c r="L200" s="24">
        <v>5455.56</v>
      </c>
      <c r="M200" s="17">
        <f t="shared" si="24"/>
        <v>0.11562022559206633</v>
      </c>
      <c r="N200" s="24">
        <v>2819.17</v>
      </c>
      <c r="O200" s="25">
        <v>300</v>
      </c>
      <c r="P200" s="25">
        <v>0</v>
      </c>
      <c r="Q200" s="12"/>
    </row>
    <row r="201" spans="1:21" s="2" customFormat="1" ht="15.75" hidden="1" x14ac:dyDescent="0.25">
      <c r="A201" s="33"/>
      <c r="B201" s="31">
        <f t="shared" si="22"/>
        <v>197</v>
      </c>
      <c r="C201" s="31" t="s">
        <v>31</v>
      </c>
      <c r="D201" s="31" t="s">
        <v>99</v>
      </c>
      <c r="E201" s="31" t="s">
        <v>334</v>
      </c>
      <c r="F201" s="10">
        <v>44502</v>
      </c>
      <c r="G201" s="28" t="s">
        <v>288</v>
      </c>
      <c r="H201" s="31" t="s">
        <v>333</v>
      </c>
      <c r="I201" s="24">
        <v>18387.95</v>
      </c>
      <c r="J201" s="24">
        <v>8153.32</v>
      </c>
      <c r="K201" s="17">
        <f t="shared" si="23"/>
        <v>0.55659440013704631</v>
      </c>
      <c r="L201" s="24">
        <v>1851.79</v>
      </c>
      <c r="M201" s="17">
        <f t="shared" si="24"/>
        <v>0.10070671282008054</v>
      </c>
      <c r="N201" s="24">
        <v>-84.35</v>
      </c>
      <c r="O201" s="25">
        <v>300</v>
      </c>
      <c r="P201" s="25">
        <v>247.5</v>
      </c>
      <c r="Q201" s="12"/>
    </row>
    <row r="202" spans="1:21" s="2" customFormat="1" ht="15.75" hidden="1" x14ac:dyDescent="0.25">
      <c r="A202" s="33"/>
      <c r="B202" s="31">
        <f t="shared" si="22"/>
        <v>198</v>
      </c>
      <c r="C202" s="31" t="s">
        <v>127</v>
      </c>
      <c r="D202" s="31" t="s">
        <v>99</v>
      </c>
      <c r="E202" s="31" t="s">
        <v>334</v>
      </c>
      <c r="F202" s="10">
        <v>44548</v>
      </c>
      <c r="G202" s="28" t="s">
        <v>289</v>
      </c>
      <c r="H202" s="31" t="s">
        <v>16</v>
      </c>
      <c r="I202" s="24">
        <v>9017.7099999999991</v>
      </c>
      <c r="J202" s="24">
        <v>4425.2700000000004</v>
      </c>
      <c r="K202" s="17">
        <f t="shared" si="23"/>
        <v>0.50926898292360245</v>
      </c>
      <c r="L202" s="24">
        <v>1205.98</v>
      </c>
      <c r="M202" s="17">
        <f t="shared" si="24"/>
        <v>0.13373461776881271</v>
      </c>
      <c r="N202" s="24">
        <v>830.51</v>
      </c>
      <c r="O202" s="25">
        <v>0</v>
      </c>
      <c r="P202" s="25">
        <v>0</v>
      </c>
      <c r="Q202" s="12"/>
      <c r="U202" s="9"/>
    </row>
    <row r="203" spans="1:21" s="2" customFormat="1" ht="15.75" hidden="1" x14ac:dyDescent="0.25">
      <c r="A203" s="33"/>
      <c r="B203" s="31">
        <f t="shared" si="22"/>
        <v>199</v>
      </c>
      <c r="C203" s="31" t="s">
        <v>31</v>
      </c>
      <c r="D203" s="31" t="s">
        <v>26</v>
      </c>
      <c r="E203" s="31" t="s">
        <v>27</v>
      </c>
      <c r="F203" s="10">
        <v>44427</v>
      </c>
      <c r="G203" s="28" t="s">
        <v>290</v>
      </c>
      <c r="H203" s="31" t="s">
        <v>193</v>
      </c>
      <c r="I203" s="24">
        <v>65353.42</v>
      </c>
      <c r="J203" s="24">
        <v>27583.11</v>
      </c>
      <c r="K203" s="17">
        <f t="shared" si="23"/>
        <v>0.57793930294696128</v>
      </c>
      <c r="L203" s="24">
        <v>7193.42</v>
      </c>
      <c r="M203" s="17">
        <f t="shared" si="24"/>
        <v>0.11006952658330658</v>
      </c>
      <c r="N203" s="24">
        <v>4146.1499999999996</v>
      </c>
      <c r="O203" s="25">
        <v>300</v>
      </c>
      <c r="P203" s="25">
        <v>0</v>
      </c>
      <c r="Q203" s="12"/>
    </row>
    <row r="204" spans="1:21" s="2" customFormat="1" ht="15.75" hidden="1" x14ac:dyDescent="0.25">
      <c r="A204" s="33"/>
      <c r="B204" s="31">
        <f t="shared" si="22"/>
        <v>200</v>
      </c>
      <c r="C204" s="31" t="s">
        <v>31</v>
      </c>
      <c r="D204" s="31" t="s">
        <v>34</v>
      </c>
      <c r="E204" s="31" t="s">
        <v>27</v>
      </c>
      <c r="F204" s="10">
        <v>44490</v>
      </c>
      <c r="G204" s="28" t="s">
        <v>291</v>
      </c>
      <c r="H204" s="31" t="s">
        <v>19</v>
      </c>
      <c r="I204" s="24">
        <v>25910.16</v>
      </c>
      <c r="J204" s="24">
        <f>10449.58+1135.67</f>
        <v>11585.25</v>
      </c>
      <c r="K204" s="17">
        <f t="shared" si="23"/>
        <v>0.55286845005974494</v>
      </c>
      <c r="L204" s="24">
        <v>3963.79</v>
      </c>
      <c r="M204" s="17">
        <f t="shared" si="24"/>
        <v>0.15298207344146081</v>
      </c>
      <c r="N204" s="24">
        <v>3910.56</v>
      </c>
      <c r="O204" s="25">
        <v>0</v>
      </c>
      <c r="P204" s="25">
        <v>0</v>
      </c>
      <c r="Q204" s="12"/>
    </row>
    <row r="205" spans="1:21" s="2" customFormat="1" ht="15.75" hidden="1" x14ac:dyDescent="0.25">
      <c r="A205" s="33"/>
      <c r="B205" s="31">
        <f t="shared" si="22"/>
        <v>201</v>
      </c>
      <c r="C205" s="31" t="s">
        <v>31</v>
      </c>
      <c r="D205" s="31" t="s">
        <v>34</v>
      </c>
      <c r="E205" s="31" t="s">
        <v>97</v>
      </c>
      <c r="F205" s="10">
        <v>44467</v>
      </c>
      <c r="G205" s="28" t="s">
        <v>292</v>
      </c>
      <c r="H205" s="31" t="s">
        <v>223</v>
      </c>
      <c r="I205" s="24">
        <v>7703.05</v>
      </c>
      <c r="J205" s="24">
        <v>5994.39</v>
      </c>
      <c r="K205" s="17">
        <f t="shared" si="23"/>
        <v>0.22181603390864654</v>
      </c>
      <c r="L205" s="24">
        <v>288.10000000000002</v>
      </c>
      <c r="M205" s="17">
        <f t="shared" si="24"/>
        <v>3.7400769824939471E-2</v>
      </c>
      <c r="N205" s="24">
        <v>-4054.85</v>
      </c>
      <c r="O205" s="25">
        <v>1198.04</v>
      </c>
      <c r="P205" s="25">
        <v>124.77</v>
      </c>
      <c r="Q205" s="12"/>
    </row>
    <row r="206" spans="1:21" s="2" customFormat="1" ht="15.75" hidden="1" x14ac:dyDescent="0.25">
      <c r="A206" s="33"/>
      <c r="B206" s="31">
        <f t="shared" si="22"/>
        <v>202</v>
      </c>
      <c r="C206" s="31" t="s">
        <v>82</v>
      </c>
      <c r="D206" s="31" t="s">
        <v>34</v>
      </c>
      <c r="E206" s="31" t="s">
        <v>97</v>
      </c>
      <c r="F206" s="10">
        <v>44344</v>
      </c>
      <c r="G206" s="28" t="s">
        <v>293</v>
      </c>
      <c r="H206" s="31" t="s">
        <v>20</v>
      </c>
      <c r="I206" s="24">
        <v>12109.51</v>
      </c>
      <c r="J206" s="24">
        <v>9505.2000000000007</v>
      </c>
      <c r="K206" s="17">
        <f t="shared" si="23"/>
        <v>0.21506320239216942</v>
      </c>
      <c r="L206" s="24">
        <v>864.07</v>
      </c>
      <c r="M206" s="17">
        <f t="shared" si="24"/>
        <v>7.1354662575116579E-2</v>
      </c>
      <c r="N206" s="24">
        <v>-704.86</v>
      </c>
      <c r="O206" s="25">
        <v>0</v>
      </c>
      <c r="P206" s="25">
        <v>0</v>
      </c>
      <c r="Q206" s="12"/>
    </row>
    <row r="207" spans="1:21" s="2" customFormat="1" ht="15.75" hidden="1" x14ac:dyDescent="0.25">
      <c r="A207" s="33"/>
      <c r="B207" s="31">
        <f t="shared" si="22"/>
        <v>203</v>
      </c>
      <c r="C207" s="31" t="s">
        <v>31</v>
      </c>
      <c r="D207" s="31" t="s">
        <v>26</v>
      </c>
      <c r="E207" s="31" t="s">
        <v>97</v>
      </c>
      <c r="F207" s="10">
        <v>44497</v>
      </c>
      <c r="G207" s="28" t="s">
        <v>294</v>
      </c>
      <c r="H207" s="31" t="s">
        <v>20</v>
      </c>
      <c r="I207" s="24">
        <v>29293.16</v>
      </c>
      <c r="J207" s="24">
        <v>15824.03</v>
      </c>
      <c r="K207" s="17">
        <f t="shared" si="23"/>
        <v>0.45980460967679826</v>
      </c>
      <c r="L207" s="24">
        <v>2254.8200000000002</v>
      </c>
      <c r="M207" s="17">
        <f t="shared" si="24"/>
        <v>7.6974283416333375E-2</v>
      </c>
      <c r="N207" s="24">
        <v>-991.24</v>
      </c>
      <c r="O207" s="25">
        <v>0</v>
      </c>
      <c r="P207" s="25">
        <v>0</v>
      </c>
      <c r="Q207" s="12"/>
    </row>
    <row r="208" spans="1:21" s="2" customFormat="1" ht="15.75" hidden="1" x14ac:dyDescent="0.25">
      <c r="A208" s="33"/>
      <c r="B208" s="31">
        <f t="shared" si="22"/>
        <v>204</v>
      </c>
      <c r="C208" s="31" t="s">
        <v>31</v>
      </c>
      <c r="D208" s="31" t="s">
        <v>26</v>
      </c>
      <c r="E208" s="31" t="s">
        <v>97</v>
      </c>
      <c r="F208" s="10">
        <v>44496</v>
      </c>
      <c r="G208" s="28" t="s">
        <v>295</v>
      </c>
      <c r="H208" s="31" t="s">
        <v>20</v>
      </c>
      <c r="I208" s="24">
        <v>61135.57</v>
      </c>
      <c r="J208" s="24">
        <v>37408.35</v>
      </c>
      <c r="K208" s="17">
        <f t="shared" si="23"/>
        <v>0.38810826495933548</v>
      </c>
      <c r="L208" s="24">
        <v>6440.48</v>
      </c>
      <c r="M208" s="17">
        <f t="shared" si="24"/>
        <v>0.10534750882342309</v>
      </c>
      <c r="N208" s="24">
        <v>-1457.33</v>
      </c>
      <c r="O208" s="25">
        <v>0</v>
      </c>
      <c r="P208" s="25">
        <v>0</v>
      </c>
      <c r="Q208" s="12"/>
    </row>
    <row r="209" spans="1:22" s="2" customFormat="1" ht="15.75" hidden="1" x14ac:dyDescent="0.25">
      <c r="A209" s="33"/>
      <c r="B209" s="31">
        <f t="shared" si="22"/>
        <v>205</v>
      </c>
      <c r="C209" s="31" t="s">
        <v>31</v>
      </c>
      <c r="D209" s="31" t="s">
        <v>43</v>
      </c>
      <c r="E209" s="31" t="s">
        <v>335</v>
      </c>
      <c r="F209" s="10">
        <v>44483</v>
      </c>
      <c r="G209" s="28" t="s">
        <v>39</v>
      </c>
      <c r="H209" s="31" t="s">
        <v>333</v>
      </c>
      <c r="I209" s="24">
        <v>19479.03</v>
      </c>
      <c r="J209" s="24">
        <v>9197.69</v>
      </c>
      <c r="K209" s="17">
        <f t="shared" si="23"/>
        <v>0.52781581013017587</v>
      </c>
      <c r="L209" s="24">
        <v>2038.53</v>
      </c>
      <c r="M209" s="17">
        <f t="shared" si="24"/>
        <v>0.10465254173334093</v>
      </c>
      <c r="N209" s="24">
        <v>305.33</v>
      </c>
      <c r="O209" s="25">
        <v>0</v>
      </c>
      <c r="P209" s="25">
        <v>36.51</v>
      </c>
      <c r="Q209" s="12"/>
    </row>
    <row r="210" spans="1:22" s="2" customFormat="1" ht="15.75" hidden="1" x14ac:dyDescent="0.25">
      <c r="A210" s="33"/>
      <c r="B210" s="31">
        <f t="shared" si="22"/>
        <v>206</v>
      </c>
      <c r="C210" s="31" t="s">
        <v>31</v>
      </c>
      <c r="D210" s="31" t="s">
        <v>99</v>
      </c>
      <c r="E210" s="31" t="s">
        <v>335</v>
      </c>
      <c r="F210" s="10">
        <v>44560</v>
      </c>
      <c r="G210" s="28" t="s">
        <v>296</v>
      </c>
      <c r="H210" s="31" t="s">
        <v>18</v>
      </c>
      <c r="I210" s="24">
        <v>33464.660000000003</v>
      </c>
      <c r="J210" s="24">
        <v>16698.41</v>
      </c>
      <c r="K210" s="17">
        <f t="shared" si="23"/>
        <v>0.50101360659274596</v>
      </c>
      <c r="L210" s="24">
        <v>3729.55</v>
      </c>
      <c r="M210" s="17">
        <f t="shared" si="24"/>
        <v>0.111447419456824</v>
      </c>
      <c r="N210" s="24">
        <v>1753.96</v>
      </c>
      <c r="O210" s="25">
        <v>0</v>
      </c>
      <c r="P210" s="25">
        <v>0</v>
      </c>
      <c r="Q210" s="12"/>
    </row>
    <row r="211" spans="1:22" s="2" customFormat="1" ht="15.75" hidden="1" x14ac:dyDescent="0.25">
      <c r="A211" s="33"/>
      <c r="B211" s="31">
        <f t="shared" si="22"/>
        <v>207</v>
      </c>
      <c r="C211" s="31" t="s">
        <v>31</v>
      </c>
      <c r="D211" s="31" t="s">
        <v>99</v>
      </c>
      <c r="E211" s="31" t="s">
        <v>334</v>
      </c>
      <c r="F211" s="10">
        <v>44247</v>
      </c>
      <c r="G211" s="28" t="s">
        <v>297</v>
      </c>
      <c r="H211" s="31" t="s">
        <v>18</v>
      </c>
      <c r="I211" s="24">
        <v>34445.96</v>
      </c>
      <c r="J211" s="24">
        <v>15615.93</v>
      </c>
      <c r="K211" s="17">
        <f t="shared" si="23"/>
        <v>0.54665423753612907</v>
      </c>
      <c r="L211" s="24">
        <v>3952.08</v>
      </c>
      <c r="M211" s="17">
        <f t="shared" si="24"/>
        <v>0.11473275821025165</v>
      </c>
      <c r="N211" s="24">
        <v>1073.96</v>
      </c>
      <c r="O211" s="25">
        <v>200</v>
      </c>
      <c r="P211" s="25">
        <v>0</v>
      </c>
      <c r="Q211" s="12"/>
    </row>
    <row r="212" spans="1:22" s="2" customFormat="1" ht="15.75" hidden="1" x14ac:dyDescent="0.25">
      <c r="A212" s="33"/>
      <c r="B212" s="31">
        <f t="shared" si="22"/>
        <v>208</v>
      </c>
      <c r="C212" s="31" t="s">
        <v>31</v>
      </c>
      <c r="D212" s="31" t="s">
        <v>99</v>
      </c>
      <c r="E212" s="31" t="s">
        <v>335</v>
      </c>
      <c r="F212" s="10">
        <v>44497</v>
      </c>
      <c r="G212" s="28" t="s">
        <v>298</v>
      </c>
      <c r="H212" s="31" t="s">
        <v>18</v>
      </c>
      <c r="I212" s="24">
        <v>60208.57</v>
      </c>
      <c r="J212" s="24">
        <v>25400.9</v>
      </c>
      <c r="K212" s="17">
        <f t="shared" si="23"/>
        <v>0.57811819812362253</v>
      </c>
      <c r="L212" s="24">
        <v>8264.01</v>
      </c>
      <c r="M212" s="17">
        <f t="shared" si="24"/>
        <v>0.13725637396802481</v>
      </c>
      <c r="N212" s="24">
        <v>5677.87</v>
      </c>
      <c r="O212" s="25">
        <v>0</v>
      </c>
      <c r="P212" s="25">
        <v>0</v>
      </c>
      <c r="Q212" s="12"/>
    </row>
    <row r="213" spans="1:22" s="2" customFormat="1" ht="15.75" hidden="1" x14ac:dyDescent="0.25">
      <c r="A213" s="33"/>
      <c r="B213" s="31">
        <f t="shared" ref="B213:B242" si="25">B212+1</f>
        <v>209</v>
      </c>
      <c r="C213" s="31" t="s">
        <v>31</v>
      </c>
      <c r="D213" s="31" t="s">
        <v>43</v>
      </c>
      <c r="E213" s="31" t="s">
        <v>334</v>
      </c>
      <c r="F213" s="10">
        <v>44517</v>
      </c>
      <c r="G213" s="28" t="s">
        <v>299</v>
      </c>
      <c r="H213" s="31" t="s">
        <v>18</v>
      </c>
      <c r="I213" s="24">
        <v>55110.080000000002</v>
      </c>
      <c r="J213" s="24">
        <f>24993.18+300</f>
        <v>25293.18</v>
      </c>
      <c r="K213" s="17">
        <f t="shared" si="23"/>
        <v>0.54104258240960634</v>
      </c>
      <c r="L213" s="24">
        <v>6288.48</v>
      </c>
      <c r="M213" s="17">
        <f t="shared" si="24"/>
        <v>0.11410761878770634</v>
      </c>
      <c r="N213" s="24">
        <v>2066.1799999999998</v>
      </c>
      <c r="O213" s="25">
        <v>0</v>
      </c>
      <c r="P213" s="25">
        <v>0</v>
      </c>
      <c r="Q213" s="12"/>
    </row>
    <row r="214" spans="1:22" s="2" customFormat="1" ht="15.75" hidden="1" x14ac:dyDescent="0.25">
      <c r="A214" s="33"/>
      <c r="B214" s="31">
        <f t="shared" si="25"/>
        <v>210</v>
      </c>
      <c r="C214" s="31" t="s">
        <v>31</v>
      </c>
      <c r="D214" s="31" t="s">
        <v>26</v>
      </c>
      <c r="E214" s="31" t="s">
        <v>27</v>
      </c>
      <c r="F214" s="10">
        <v>44302</v>
      </c>
      <c r="G214" s="28" t="s">
        <v>300</v>
      </c>
      <c r="H214" s="31" t="s">
        <v>193</v>
      </c>
      <c r="I214" s="24">
        <v>52283.89</v>
      </c>
      <c r="J214" s="24">
        <v>22291.3</v>
      </c>
      <c r="K214" s="17">
        <f t="shared" si="23"/>
        <v>0.57364878550543963</v>
      </c>
      <c r="L214" s="24">
        <v>5773.06</v>
      </c>
      <c r="M214" s="17">
        <f t="shared" si="24"/>
        <v>0.11041756839439454</v>
      </c>
      <c r="N214" s="24">
        <v>2875.79</v>
      </c>
      <c r="O214" s="25">
        <v>500</v>
      </c>
      <c r="P214" s="25">
        <v>0</v>
      </c>
      <c r="Q214" s="12"/>
    </row>
    <row r="215" spans="1:22" s="2" customFormat="1" ht="15.75" hidden="1" x14ac:dyDescent="0.25">
      <c r="A215" s="33"/>
      <c r="B215" s="31">
        <f t="shared" si="25"/>
        <v>211</v>
      </c>
      <c r="C215" s="31" t="s">
        <v>31</v>
      </c>
      <c r="D215" s="31" t="s">
        <v>43</v>
      </c>
      <c r="E215" s="31" t="s">
        <v>334</v>
      </c>
      <c r="F215" s="10">
        <v>44406</v>
      </c>
      <c r="G215" s="28" t="s">
        <v>301</v>
      </c>
      <c r="H215" s="31" t="s">
        <v>333</v>
      </c>
      <c r="I215" s="24">
        <v>18539.98</v>
      </c>
      <c r="J215" s="24">
        <v>10898.67</v>
      </c>
      <c r="K215" s="17">
        <f t="shared" si="23"/>
        <v>0.41215308754378371</v>
      </c>
      <c r="L215" s="24">
        <v>1842.99</v>
      </c>
      <c r="M215" s="17">
        <f t="shared" si="24"/>
        <v>9.940625610167865E-2</v>
      </c>
      <c r="N215" s="24">
        <v>42.48</v>
      </c>
      <c r="O215" s="25">
        <v>0</v>
      </c>
      <c r="P215" s="25">
        <v>0</v>
      </c>
      <c r="Q215" s="12"/>
    </row>
    <row r="216" spans="1:22" s="2" customFormat="1" ht="15.75" hidden="1" x14ac:dyDescent="0.25">
      <c r="A216" s="33"/>
      <c r="B216" s="31">
        <f t="shared" si="25"/>
        <v>212</v>
      </c>
      <c r="C216" s="31" t="s">
        <v>115</v>
      </c>
      <c r="D216" s="31" t="s">
        <v>99</v>
      </c>
      <c r="E216" s="31" t="s">
        <v>334</v>
      </c>
      <c r="F216" s="10">
        <v>44501</v>
      </c>
      <c r="G216" s="28" t="s">
        <v>302</v>
      </c>
      <c r="H216" s="31" t="s">
        <v>333</v>
      </c>
      <c r="I216" s="24">
        <v>40886.83</v>
      </c>
      <c r="J216" s="24">
        <v>19675.009999999998</v>
      </c>
      <c r="K216" s="17">
        <f t="shared" si="23"/>
        <v>0.51879345989894554</v>
      </c>
      <c r="L216" s="24">
        <v>4045.21</v>
      </c>
      <c r="M216" s="17">
        <f t="shared" si="24"/>
        <v>9.89367480922341E-2</v>
      </c>
      <c r="N216" s="24">
        <v>2335.0300000000002</v>
      </c>
      <c r="O216" s="25">
        <v>0</v>
      </c>
      <c r="P216" s="25">
        <v>0</v>
      </c>
      <c r="Q216" s="12"/>
    </row>
    <row r="217" spans="1:22" s="2" customFormat="1" ht="15.75" hidden="1" x14ac:dyDescent="0.25">
      <c r="A217" s="33"/>
      <c r="B217" s="31">
        <f t="shared" si="25"/>
        <v>213</v>
      </c>
      <c r="C217" s="31" t="s">
        <v>31</v>
      </c>
      <c r="D217" s="31" t="s">
        <v>26</v>
      </c>
      <c r="E217" s="31" t="s">
        <v>27</v>
      </c>
      <c r="F217" s="10">
        <v>44553</v>
      </c>
      <c r="G217" s="28" t="s">
        <v>303</v>
      </c>
      <c r="H217" s="31" t="s">
        <v>14</v>
      </c>
      <c r="I217" s="24">
        <v>9177.2900000000009</v>
      </c>
      <c r="J217" s="24">
        <v>3654.34</v>
      </c>
      <c r="K217" s="17">
        <f t="shared" si="23"/>
        <v>0.60180619769016785</v>
      </c>
      <c r="L217" s="24">
        <v>1076.6400000000001</v>
      </c>
      <c r="M217" s="17">
        <f t="shared" si="24"/>
        <v>0.11731567815771322</v>
      </c>
      <c r="N217" s="24">
        <v>252.29</v>
      </c>
      <c r="O217" s="25">
        <v>100</v>
      </c>
      <c r="P217" s="25">
        <v>0</v>
      </c>
      <c r="Q217" s="12"/>
    </row>
    <row r="218" spans="1:22" s="2" customFormat="1" ht="15.75" hidden="1" x14ac:dyDescent="0.25">
      <c r="A218" s="33"/>
      <c r="B218" s="31">
        <f t="shared" si="25"/>
        <v>214</v>
      </c>
      <c r="C218" s="31" t="s">
        <v>119</v>
      </c>
      <c r="D218" s="31" t="s">
        <v>89</v>
      </c>
      <c r="E218" s="31" t="s">
        <v>334</v>
      </c>
      <c r="F218" s="10">
        <v>44559</v>
      </c>
      <c r="G218" s="28" t="s">
        <v>304</v>
      </c>
      <c r="H218" s="31" t="s">
        <v>16</v>
      </c>
      <c r="I218" s="24">
        <v>13188.19</v>
      </c>
      <c r="J218" s="24">
        <v>4515.78</v>
      </c>
      <c r="K218" s="17">
        <f t="shared" si="23"/>
        <v>0.65758910055132658</v>
      </c>
      <c r="L218" s="24">
        <v>2324.09</v>
      </c>
      <c r="M218" s="17">
        <f t="shared" si="24"/>
        <v>0.17622509229848826</v>
      </c>
      <c r="N218" s="24">
        <v>2618.19</v>
      </c>
      <c r="O218" s="25">
        <v>0</v>
      </c>
      <c r="P218" s="25">
        <v>0</v>
      </c>
      <c r="Q218" s="12"/>
      <c r="V218" s="5"/>
    </row>
    <row r="219" spans="1:22" s="2" customFormat="1" ht="15.75" hidden="1" x14ac:dyDescent="0.25">
      <c r="A219" s="33"/>
      <c r="B219" s="31">
        <f t="shared" si="25"/>
        <v>215</v>
      </c>
      <c r="C219" s="31" t="s">
        <v>31</v>
      </c>
      <c r="D219" s="31" t="s">
        <v>43</v>
      </c>
      <c r="E219" s="31" t="s">
        <v>334</v>
      </c>
      <c r="F219" s="10">
        <v>44557</v>
      </c>
      <c r="G219" s="28" t="s">
        <v>305</v>
      </c>
      <c r="H219" s="31" t="s">
        <v>18</v>
      </c>
      <c r="I219" s="24">
        <v>34540.9</v>
      </c>
      <c r="J219" s="24">
        <v>15385.02</v>
      </c>
      <c r="K219" s="17">
        <f t="shared" si="23"/>
        <v>0.55458543350057465</v>
      </c>
      <c r="L219" s="24">
        <v>4424.33</v>
      </c>
      <c r="M219" s="17">
        <f t="shared" si="24"/>
        <v>0.12808959812859536</v>
      </c>
      <c r="N219" s="24">
        <v>2548.1</v>
      </c>
      <c r="O219" s="25">
        <v>0</v>
      </c>
      <c r="P219" s="25">
        <v>0</v>
      </c>
      <c r="Q219" s="12"/>
    </row>
    <row r="220" spans="1:22" s="2" customFormat="1" ht="15.75" hidden="1" x14ac:dyDescent="0.25">
      <c r="A220" s="33"/>
      <c r="B220" s="31">
        <f t="shared" si="25"/>
        <v>216</v>
      </c>
      <c r="C220" s="31" t="s">
        <v>31</v>
      </c>
      <c r="D220" s="31" t="s">
        <v>26</v>
      </c>
      <c r="E220" s="31" t="s">
        <v>27</v>
      </c>
      <c r="F220" s="10">
        <v>44494</v>
      </c>
      <c r="G220" s="28" t="s">
        <v>306</v>
      </c>
      <c r="H220" s="31" t="s">
        <v>194</v>
      </c>
      <c r="I220" s="24">
        <v>22155.27</v>
      </c>
      <c r="J220" s="24">
        <v>8112.44</v>
      </c>
      <c r="K220" s="17">
        <f t="shared" ref="K220:K242" si="26">(I220-J220)/I220</f>
        <v>0.63383700582299385</v>
      </c>
      <c r="L220" s="24">
        <v>2474.84</v>
      </c>
      <c r="M220" s="17">
        <f t="shared" ref="M220:M242" si="27">L220/I220</f>
        <v>0.11170434844621618</v>
      </c>
      <c r="N220" s="24">
        <v>892.91</v>
      </c>
      <c r="O220" s="25">
        <v>200</v>
      </c>
      <c r="P220" s="25">
        <v>0</v>
      </c>
      <c r="Q220" s="12"/>
    </row>
    <row r="221" spans="1:22" s="2" customFormat="1" ht="15.75" hidden="1" x14ac:dyDescent="0.25">
      <c r="A221" s="33"/>
      <c r="B221" s="31">
        <f t="shared" si="25"/>
        <v>217</v>
      </c>
      <c r="C221" s="31" t="s">
        <v>307</v>
      </c>
      <c r="D221" s="31" t="s">
        <v>167</v>
      </c>
      <c r="E221" s="31" t="s">
        <v>97</v>
      </c>
      <c r="F221" s="10">
        <v>44522</v>
      </c>
      <c r="G221" s="28" t="s">
        <v>308</v>
      </c>
      <c r="H221" s="31" t="s">
        <v>20</v>
      </c>
      <c r="I221" s="24">
        <v>22952.69</v>
      </c>
      <c r="J221" s="24">
        <v>11493.38</v>
      </c>
      <c r="K221" s="17">
        <f t="shared" si="26"/>
        <v>0.49925782119655693</v>
      </c>
      <c r="L221" s="24">
        <v>2491.1799999999998</v>
      </c>
      <c r="M221" s="17">
        <f t="shared" si="27"/>
        <v>0.1085354265665593</v>
      </c>
      <c r="N221" s="24">
        <v>919.84</v>
      </c>
      <c r="O221" s="25">
        <v>0</v>
      </c>
      <c r="P221" s="25">
        <v>0</v>
      </c>
      <c r="Q221" s="12"/>
    </row>
    <row r="222" spans="1:22" s="2" customFormat="1" ht="15.75" hidden="1" x14ac:dyDescent="0.25">
      <c r="A222" s="33"/>
      <c r="B222" s="31">
        <f t="shared" si="25"/>
        <v>218</v>
      </c>
      <c r="C222" s="31" t="s">
        <v>31</v>
      </c>
      <c r="D222" s="31" t="s">
        <v>26</v>
      </c>
      <c r="E222" s="31" t="s">
        <v>27</v>
      </c>
      <c r="F222" s="10">
        <v>44506</v>
      </c>
      <c r="G222" s="28" t="s">
        <v>309</v>
      </c>
      <c r="H222" s="31" t="s">
        <v>193</v>
      </c>
      <c r="I222" s="24">
        <v>37914.25</v>
      </c>
      <c r="J222" s="24">
        <v>15627.28</v>
      </c>
      <c r="K222" s="17">
        <f t="shared" si="26"/>
        <v>0.58782568559314774</v>
      </c>
      <c r="L222" s="24">
        <v>3559.67</v>
      </c>
      <c r="M222" s="17">
        <f t="shared" si="27"/>
        <v>9.3887390624896969E-2</v>
      </c>
      <c r="N222" s="24">
        <v>783.1</v>
      </c>
      <c r="O222" s="25">
        <v>500</v>
      </c>
      <c r="P222" s="25">
        <v>0</v>
      </c>
      <c r="Q222" s="12"/>
    </row>
    <row r="223" spans="1:22" s="2" customFormat="1" ht="15.75" hidden="1" x14ac:dyDescent="0.25">
      <c r="A223" s="33"/>
      <c r="B223" s="31">
        <f t="shared" si="25"/>
        <v>219</v>
      </c>
      <c r="C223" s="31" t="s">
        <v>31</v>
      </c>
      <c r="D223" s="31" t="s">
        <v>34</v>
      </c>
      <c r="E223" s="31" t="s">
        <v>335</v>
      </c>
      <c r="F223" s="10">
        <v>44468</v>
      </c>
      <c r="G223" s="28" t="s">
        <v>310</v>
      </c>
      <c r="H223" s="31" t="s">
        <v>333</v>
      </c>
      <c r="I223" s="24">
        <v>23308.46</v>
      </c>
      <c r="J223" s="24">
        <v>12225.27</v>
      </c>
      <c r="K223" s="17">
        <f t="shared" si="26"/>
        <v>0.47550074093269135</v>
      </c>
      <c r="L223" s="24">
        <v>2006.03</v>
      </c>
      <c r="M223" s="17">
        <f t="shared" si="27"/>
        <v>8.6064458999007235E-2</v>
      </c>
      <c r="N223" s="24">
        <v>-505.54</v>
      </c>
      <c r="O223" s="25">
        <v>100</v>
      </c>
      <c r="P223" s="25">
        <v>0</v>
      </c>
      <c r="Q223" s="12"/>
    </row>
    <row r="224" spans="1:22" s="2" customFormat="1" ht="15.75" hidden="1" x14ac:dyDescent="0.25">
      <c r="A224" s="33"/>
      <c r="B224" s="31">
        <f t="shared" si="25"/>
        <v>220</v>
      </c>
      <c r="C224" s="31" t="s">
        <v>31</v>
      </c>
      <c r="D224" s="31" t="s">
        <v>34</v>
      </c>
      <c r="E224" s="31" t="s">
        <v>335</v>
      </c>
      <c r="F224" s="10">
        <v>44468</v>
      </c>
      <c r="G224" s="28" t="s">
        <v>311</v>
      </c>
      <c r="H224" s="31" t="s">
        <v>16</v>
      </c>
      <c r="I224" s="24">
        <v>12776.83</v>
      </c>
      <c r="J224" s="24">
        <v>7790.24</v>
      </c>
      <c r="K224" s="17">
        <f t="shared" si="26"/>
        <v>0.3902838184432289</v>
      </c>
      <c r="L224" s="24">
        <v>831.92</v>
      </c>
      <c r="M224" s="17">
        <f t="shared" si="27"/>
        <v>6.5111612191756485E-2</v>
      </c>
      <c r="N224" s="24">
        <v>-1022.27</v>
      </c>
      <c r="O224" s="25">
        <v>47.85</v>
      </c>
      <c r="P224" s="25">
        <v>0</v>
      </c>
      <c r="Q224" s="12"/>
    </row>
    <row r="225" spans="1:17" s="2" customFormat="1" ht="15.75" hidden="1" x14ac:dyDescent="0.25">
      <c r="A225" s="33"/>
      <c r="B225" s="31">
        <f t="shared" si="25"/>
        <v>221</v>
      </c>
      <c r="C225" s="31" t="s">
        <v>31</v>
      </c>
      <c r="D225" s="31" t="s">
        <v>43</v>
      </c>
      <c r="E225" s="31" t="s">
        <v>334</v>
      </c>
      <c r="F225" s="10">
        <v>44553</v>
      </c>
      <c r="G225" s="28" t="s">
        <v>312</v>
      </c>
      <c r="H225" s="31" t="s">
        <v>333</v>
      </c>
      <c r="I225" s="24">
        <v>23249.13</v>
      </c>
      <c r="J225" s="24">
        <v>11623.78</v>
      </c>
      <c r="K225" s="17">
        <f t="shared" si="26"/>
        <v>0.50003376470431371</v>
      </c>
      <c r="L225" s="24">
        <v>2630.97</v>
      </c>
      <c r="M225" s="17">
        <f t="shared" si="27"/>
        <v>0.11316423453264701</v>
      </c>
      <c r="N225" s="24">
        <v>835.13</v>
      </c>
      <c r="O225" s="25">
        <v>0</v>
      </c>
      <c r="P225" s="25">
        <v>0</v>
      </c>
      <c r="Q225" s="12"/>
    </row>
    <row r="226" spans="1:17" s="2" customFormat="1" ht="15.75" hidden="1" x14ac:dyDescent="0.25">
      <c r="A226" s="33"/>
      <c r="B226" s="31">
        <f t="shared" si="25"/>
        <v>222</v>
      </c>
      <c r="C226" s="31" t="s">
        <v>115</v>
      </c>
      <c r="D226" s="31" t="s">
        <v>43</v>
      </c>
      <c r="E226" s="31" t="s">
        <v>335</v>
      </c>
      <c r="F226" s="10">
        <v>44520</v>
      </c>
      <c r="G226" s="28" t="s">
        <v>313</v>
      </c>
      <c r="H226" s="31" t="s">
        <v>16</v>
      </c>
      <c r="I226" s="24">
        <v>17639.93</v>
      </c>
      <c r="J226" s="24">
        <v>7806.09</v>
      </c>
      <c r="K226" s="17">
        <f t="shared" si="26"/>
        <v>0.55747613510937966</v>
      </c>
      <c r="L226" s="24">
        <v>2030.25</v>
      </c>
      <c r="M226" s="17">
        <f t="shared" si="27"/>
        <v>0.11509399413716494</v>
      </c>
      <c r="N226" s="24">
        <v>735.63</v>
      </c>
      <c r="O226" s="25">
        <v>0</v>
      </c>
      <c r="P226" s="25">
        <v>0</v>
      </c>
      <c r="Q226" s="12"/>
    </row>
    <row r="227" spans="1:17" s="2" customFormat="1" ht="15.75" hidden="1" x14ac:dyDescent="0.25">
      <c r="A227" s="33"/>
      <c r="B227" s="31">
        <f t="shared" si="25"/>
        <v>223</v>
      </c>
      <c r="C227" s="31" t="s">
        <v>31</v>
      </c>
      <c r="D227" s="31" t="s">
        <v>26</v>
      </c>
      <c r="E227" s="31" t="s">
        <v>27</v>
      </c>
      <c r="F227" s="10">
        <v>44515</v>
      </c>
      <c r="G227" s="28" t="s">
        <v>314</v>
      </c>
      <c r="H227" s="31" t="s">
        <v>193</v>
      </c>
      <c r="I227" s="24">
        <v>27161.07</v>
      </c>
      <c r="J227" s="24">
        <v>11480.18</v>
      </c>
      <c r="K227" s="17">
        <f t="shared" ref="K227:K234" si="28">(I227-J227)/I227</f>
        <v>0.57732961183046172</v>
      </c>
      <c r="L227" s="24">
        <v>3393.73</v>
      </c>
      <c r="M227" s="17">
        <f t="shared" ref="M227:M234" si="29">L227/I227</f>
        <v>0.12494831757364493</v>
      </c>
      <c r="N227" s="24">
        <v>2681.54</v>
      </c>
      <c r="O227" s="25">
        <v>0</v>
      </c>
      <c r="P227" s="25">
        <v>0</v>
      </c>
      <c r="Q227" s="12"/>
    </row>
    <row r="228" spans="1:17" s="2" customFormat="1" ht="15.75" hidden="1" x14ac:dyDescent="0.25">
      <c r="A228" s="33"/>
      <c r="B228" s="31">
        <f t="shared" si="25"/>
        <v>224</v>
      </c>
      <c r="C228" s="31" t="s">
        <v>115</v>
      </c>
      <c r="D228" s="31" t="s">
        <v>26</v>
      </c>
      <c r="E228" s="31" t="s">
        <v>27</v>
      </c>
      <c r="F228" s="10">
        <v>44548</v>
      </c>
      <c r="G228" s="28" t="s">
        <v>315</v>
      </c>
      <c r="H228" s="31" t="s">
        <v>193</v>
      </c>
      <c r="I228" s="24">
        <v>27394.080000000002</v>
      </c>
      <c r="J228" s="24">
        <v>12919.56</v>
      </c>
      <c r="K228" s="17">
        <f t="shared" si="28"/>
        <v>0.52838131450298753</v>
      </c>
      <c r="L228" s="24">
        <v>2263.15</v>
      </c>
      <c r="M228" s="17">
        <f t="shared" si="29"/>
        <v>8.2614564898693441E-2</v>
      </c>
      <c r="N228" s="24">
        <v>-85.29</v>
      </c>
      <c r="O228" s="25">
        <v>0</v>
      </c>
      <c r="P228" s="25">
        <v>0</v>
      </c>
      <c r="Q228" s="12"/>
    </row>
    <row r="229" spans="1:17" s="2" customFormat="1" ht="15.75" hidden="1" x14ac:dyDescent="0.25">
      <c r="A229" s="33"/>
      <c r="B229" s="31">
        <f t="shared" si="25"/>
        <v>225</v>
      </c>
      <c r="C229" s="31" t="s">
        <v>115</v>
      </c>
      <c r="D229" s="31" t="s">
        <v>99</v>
      </c>
      <c r="E229" s="31" t="s">
        <v>334</v>
      </c>
      <c r="F229" s="10">
        <v>44912</v>
      </c>
      <c r="G229" s="28" t="s">
        <v>316</v>
      </c>
      <c r="H229" s="31" t="s">
        <v>18</v>
      </c>
      <c r="I229" s="24">
        <v>34358.68</v>
      </c>
      <c r="J229" s="24">
        <v>16583.79</v>
      </c>
      <c r="K229" s="17">
        <f t="shared" si="28"/>
        <v>0.51733332013919042</v>
      </c>
      <c r="L229" s="24">
        <v>4532.3</v>
      </c>
      <c r="M229" s="17">
        <f t="shared" si="29"/>
        <v>0.13191135398682372</v>
      </c>
      <c r="N229" s="24">
        <v>2863.58</v>
      </c>
      <c r="O229" s="25">
        <v>0</v>
      </c>
      <c r="P229" s="25">
        <v>0</v>
      </c>
      <c r="Q229" s="12"/>
    </row>
    <row r="230" spans="1:17" s="2" customFormat="1" ht="15.75" hidden="1" x14ac:dyDescent="0.25">
      <c r="A230" s="33"/>
      <c r="B230" s="31">
        <f t="shared" si="25"/>
        <v>226</v>
      </c>
      <c r="C230" s="31" t="s">
        <v>31</v>
      </c>
      <c r="D230" s="31" t="s">
        <v>34</v>
      </c>
      <c r="E230" s="31" t="s">
        <v>27</v>
      </c>
      <c r="F230" s="10">
        <v>44551</v>
      </c>
      <c r="G230" s="28" t="s">
        <v>317</v>
      </c>
      <c r="H230" s="31" t="s">
        <v>195</v>
      </c>
      <c r="I230" s="24">
        <v>58753.79</v>
      </c>
      <c r="J230" s="24">
        <v>23505.27</v>
      </c>
      <c r="K230" s="17">
        <f t="shared" si="28"/>
        <v>0.59993610624948623</v>
      </c>
      <c r="L230" s="24">
        <v>6576.25</v>
      </c>
      <c r="M230" s="17">
        <f t="shared" si="29"/>
        <v>0.11192894960478295</v>
      </c>
      <c r="N230" s="24">
        <v>2540.29</v>
      </c>
      <c r="O230" s="25">
        <v>0</v>
      </c>
      <c r="P230" s="25">
        <v>0</v>
      </c>
      <c r="Q230" s="12"/>
    </row>
    <row r="231" spans="1:17" s="2" customFormat="1" ht="15.75" hidden="1" x14ac:dyDescent="0.25">
      <c r="A231" s="33"/>
      <c r="B231" s="31">
        <f t="shared" si="25"/>
        <v>227</v>
      </c>
      <c r="C231" s="31" t="s">
        <v>131</v>
      </c>
      <c r="D231" s="31" t="s">
        <v>26</v>
      </c>
      <c r="E231" s="31" t="s">
        <v>27</v>
      </c>
      <c r="F231" s="10">
        <v>44320</v>
      </c>
      <c r="G231" s="28" t="s">
        <v>318</v>
      </c>
      <c r="H231" s="31" t="s">
        <v>192</v>
      </c>
      <c r="I231" s="24">
        <v>27862.55</v>
      </c>
      <c r="J231" s="24">
        <v>10828.59</v>
      </c>
      <c r="K231" s="17">
        <f t="shared" si="28"/>
        <v>0.61135682125290036</v>
      </c>
      <c r="L231" s="24">
        <v>2437.4899999999998</v>
      </c>
      <c r="M231" s="17">
        <f t="shared" si="29"/>
        <v>8.7482660416939584E-2</v>
      </c>
      <c r="N231" s="24">
        <v>780.95</v>
      </c>
      <c r="O231" s="25">
        <v>400</v>
      </c>
      <c r="P231" s="25">
        <v>0</v>
      </c>
      <c r="Q231" s="12"/>
    </row>
    <row r="232" spans="1:17" s="2" customFormat="1" ht="15.75" hidden="1" x14ac:dyDescent="0.25">
      <c r="A232" s="33"/>
      <c r="B232" s="31">
        <f t="shared" si="25"/>
        <v>228</v>
      </c>
      <c r="C232" s="31" t="s">
        <v>319</v>
      </c>
      <c r="D232" s="31" t="s">
        <v>26</v>
      </c>
      <c r="E232" s="31" t="s">
        <v>97</v>
      </c>
      <c r="F232" s="10">
        <v>44378</v>
      </c>
      <c r="G232" s="28" t="s">
        <v>320</v>
      </c>
      <c r="H232" s="31" t="s">
        <v>20</v>
      </c>
      <c r="I232" s="24">
        <v>19041.02</v>
      </c>
      <c r="J232" s="24">
        <v>10213.57</v>
      </c>
      <c r="K232" s="17">
        <f t="shared" si="28"/>
        <v>0.46360173982276165</v>
      </c>
      <c r="L232" s="24">
        <v>1634.17</v>
      </c>
      <c r="M232" s="17">
        <f t="shared" si="29"/>
        <v>8.5823658606524231E-2</v>
      </c>
      <c r="N232" s="24">
        <v>-613.58000000000004</v>
      </c>
      <c r="O232" s="25">
        <v>0</v>
      </c>
      <c r="P232" s="25">
        <v>0</v>
      </c>
      <c r="Q232" s="12"/>
    </row>
    <row r="233" spans="1:17" s="2" customFormat="1" ht="15.75" hidden="1" x14ac:dyDescent="0.25">
      <c r="A233" s="33"/>
      <c r="B233" s="31">
        <f t="shared" si="25"/>
        <v>229</v>
      </c>
      <c r="C233" s="31" t="s">
        <v>31</v>
      </c>
      <c r="D233" s="31" t="s">
        <v>43</v>
      </c>
      <c r="E233" s="31" t="s">
        <v>335</v>
      </c>
      <c r="F233" s="10">
        <v>44513</v>
      </c>
      <c r="G233" s="28" t="s">
        <v>321</v>
      </c>
      <c r="H233" s="31" t="s">
        <v>16</v>
      </c>
      <c r="I233" s="24">
        <v>15944.38</v>
      </c>
      <c r="J233" s="24">
        <f>7797.95</f>
        <v>7797.95</v>
      </c>
      <c r="K233" s="17">
        <f t="shared" si="28"/>
        <v>0.51092798841974407</v>
      </c>
      <c r="L233" s="24">
        <v>2019.39</v>
      </c>
      <c r="M233" s="17">
        <f t="shared" si="29"/>
        <v>0.12665214953482043</v>
      </c>
      <c r="N233" s="24">
        <v>1132.3800000000001</v>
      </c>
      <c r="O233" s="25">
        <v>0</v>
      </c>
      <c r="P233" s="25">
        <v>0</v>
      </c>
      <c r="Q233" s="12"/>
    </row>
    <row r="234" spans="1:17" s="2" customFormat="1" ht="15.75" hidden="1" x14ac:dyDescent="0.25">
      <c r="A234" s="33"/>
      <c r="B234" s="31">
        <f t="shared" si="25"/>
        <v>230</v>
      </c>
      <c r="C234" s="31" t="s">
        <v>31</v>
      </c>
      <c r="D234" s="31" t="s">
        <v>26</v>
      </c>
      <c r="E234" s="31" t="s">
        <v>27</v>
      </c>
      <c r="F234" s="10">
        <v>44506</v>
      </c>
      <c r="G234" s="28" t="s">
        <v>322</v>
      </c>
      <c r="H234" s="31" t="s">
        <v>193</v>
      </c>
      <c r="I234" s="24">
        <v>31517.96</v>
      </c>
      <c r="J234" s="24">
        <v>12881.06</v>
      </c>
      <c r="K234" s="17">
        <f t="shared" si="28"/>
        <v>0.59131047821622984</v>
      </c>
      <c r="L234" s="24">
        <v>3382.12</v>
      </c>
      <c r="M234" s="17">
        <f t="shared" si="29"/>
        <v>0.10730770646323556</v>
      </c>
      <c r="N234" s="24">
        <v>906.96</v>
      </c>
      <c r="O234" s="25">
        <v>300</v>
      </c>
      <c r="P234" s="25">
        <v>0</v>
      </c>
      <c r="Q234" s="12"/>
    </row>
    <row r="235" spans="1:17" s="2" customFormat="1" ht="15.75" hidden="1" x14ac:dyDescent="0.25">
      <c r="A235" s="33"/>
      <c r="B235" s="31">
        <f t="shared" si="25"/>
        <v>231</v>
      </c>
      <c r="C235" s="31" t="s">
        <v>323</v>
      </c>
      <c r="D235" s="31" t="s">
        <v>99</v>
      </c>
      <c r="E235" s="31" t="s">
        <v>335</v>
      </c>
      <c r="F235" s="10">
        <v>44551</v>
      </c>
      <c r="G235" s="116" t="s">
        <v>324</v>
      </c>
      <c r="H235" s="31" t="s">
        <v>18</v>
      </c>
      <c r="I235" s="24">
        <f>33000+4000-8500</f>
        <v>28500</v>
      </c>
      <c r="J235" s="24">
        <v>19581.689999999999</v>
      </c>
      <c r="K235" s="17">
        <f t="shared" si="26"/>
        <v>0.3129231578947369</v>
      </c>
      <c r="L235" s="24">
        <v>2047.86</v>
      </c>
      <c r="M235" s="17">
        <f t="shared" si="27"/>
        <v>7.1854736842105263E-2</v>
      </c>
      <c r="N235" s="24">
        <v>-5597.24</v>
      </c>
      <c r="O235" s="25">
        <v>1880.51</v>
      </c>
      <c r="P235" s="25">
        <v>0</v>
      </c>
      <c r="Q235" s="12" t="s">
        <v>325</v>
      </c>
    </row>
    <row r="236" spans="1:17" s="2" customFormat="1" ht="15.75" hidden="1" x14ac:dyDescent="0.25">
      <c r="A236" s="33"/>
      <c r="B236" s="31">
        <f t="shared" si="25"/>
        <v>232</v>
      </c>
      <c r="C236" s="31" t="s">
        <v>326</v>
      </c>
      <c r="D236" s="31" t="s">
        <v>34</v>
      </c>
      <c r="E236" s="31" t="s">
        <v>97</v>
      </c>
      <c r="F236" s="10">
        <v>44487</v>
      </c>
      <c r="G236" s="116" t="s">
        <v>327</v>
      </c>
      <c r="H236" s="31" t="s">
        <v>20</v>
      </c>
      <c r="I236" s="24">
        <v>24552.05</v>
      </c>
      <c r="J236" s="24">
        <v>15982.98</v>
      </c>
      <c r="K236" s="17">
        <f t="shared" si="26"/>
        <v>0.34901647723917145</v>
      </c>
      <c r="L236" s="24">
        <v>1471.85</v>
      </c>
      <c r="M236" s="17">
        <f t="shared" si="27"/>
        <v>5.9948150969063682E-2</v>
      </c>
      <c r="N236" s="24">
        <v>2347.5500000000002</v>
      </c>
      <c r="O236" s="25">
        <v>65.22</v>
      </c>
      <c r="P236" s="25">
        <v>0</v>
      </c>
      <c r="Q236" s="12"/>
    </row>
    <row r="237" spans="1:17" s="2" customFormat="1" ht="15.75" hidden="1" x14ac:dyDescent="0.25">
      <c r="B237" s="31">
        <f t="shared" si="25"/>
        <v>233</v>
      </c>
      <c r="C237" s="31" t="s">
        <v>31</v>
      </c>
      <c r="D237" s="31" t="s">
        <v>34</v>
      </c>
      <c r="E237" s="31" t="s">
        <v>97</v>
      </c>
      <c r="F237" s="10">
        <v>44536</v>
      </c>
      <c r="G237" s="116" t="s">
        <v>328</v>
      </c>
      <c r="H237" s="31" t="s">
        <v>13</v>
      </c>
      <c r="I237" s="24">
        <v>13186.56</v>
      </c>
      <c r="J237" s="24">
        <v>8300.18</v>
      </c>
      <c r="K237" s="17">
        <f>(I237-J237)/I237</f>
        <v>0.37055759803921562</v>
      </c>
      <c r="L237" s="24">
        <v>450.97</v>
      </c>
      <c r="M237" s="17">
        <f>L237/I237</f>
        <v>3.4199214958260532E-2</v>
      </c>
      <c r="N237" s="24">
        <v>-1124.94</v>
      </c>
      <c r="O237" s="25">
        <v>26.79</v>
      </c>
      <c r="P237" s="25">
        <v>0</v>
      </c>
      <c r="Q237" s="12"/>
    </row>
    <row r="238" spans="1:17" s="2" customFormat="1" ht="15.75" hidden="1" x14ac:dyDescent="0.25">
      <c r="B238" s="31">
        <f t="shared" si="25"/>
        <v>234</v>
      </c>
      <c r="C238" s="31" t="s">
        <v>185</v>
      </c>
      <c r="D238" s="31" t="s">
        <v>34</v>
      </c>
      <c r="E238" s="31" t="s">
        <v>27</v>
      </c>
      <c r="F238" s="10">
        <v>44519</v>
      </c>
      <c r="G238" s="116" t="s">
        <v>329</v>
      </c>
      <c r="H238" s="31" t="s">
        <v>195</v>
      </c>
      <c r="I238" s="24">
        <v>60076.94</v>
      </c>
      <c r="J238" s="24">
        <v>45813.9</v>
      </c>
      <c r="K238" s="17">
        <f>(I238-J238)/I238</f>
        <v>0.23741289086960821</v>
      </c>
      <c r="L238" s="24">
        <v>3747.56</v>
      </c>
      <c r="M238" s="17">
        <f>L238/I238</f>
        <v>6.2379342223488746E-2</v>
      </c>
      <c r="N238" s="24">
        <v>-1333.36</v>
      </c>
      <c r="O238" s="25">
        <v>277.45</v>
      </c>
      <c r="P238" s="25">
        <v>0</v>
      </c>
      <c r="Q238" s="12"/>
    </row>
    <row r="239" spans="1:17" s="2" customFormat="1" ht="15.75" hidden="1" x14ac:dyDescent="0.25">
      <c r="B239" s="31">
        <f t="shared" si="25"/>
        <v>235</v>
      </c>
      <c r="C239" s="31" t="s">
        <v>330</v>
      </c>
      <c r="D239" s="31" t="s">
        <v>34</v>
      </c>
      <c r="E239" s="31" t="s">
        <v>27</v>
      </c>
      <c r="F239" s="10">
        <v>44410</v>
      </c>
      <c r="G239" s="116" t="s">
        <v>331</v>
      </c>
      <c r="H239" s="31" t="s">
        <v>195</v>
      </c>
      <c r="I239" s="24">
        <v>51283.77</v>
      </c>
      <c r="J239" s="24">
        <v>26475.43</v>
      </c>
      <c r="K239" s="17">
        <f>(I239-J239)/I239</f>
        <v>0.48374641723882622</v>
      </c>
      <c r="L239" s="24">
        <v>4280.46</v>
      </c>
      <c r="M239" s="17">
        <f>L239/I239</f>
        <v>8.3466172631224272E-2</v>
      </c>
      <c r="N239" s="24">
        <v>-1016.03</v>
      </c>
      <c r="O239" s="25">
        <v>500</v>
      </c>
      <c r="P239" s="25">
        <v>0</v>
      </c>
      <c r="Q239" s="12"/>
    </row>
    <row r="240" spans="1:17" s="2" customFormat="1" ht="15.75" hidden="1" x14ac:dyDescent="0.25">
      <c r="B240" s="31">
        <f t="shared" si="25"/>
        <v>236</v>
      </c>
      <c r="C240" s="31" t="s">
        <v>31</v>
      </c>
      <c r="D240" s="31" t="s">
        <v>26</v>
      </c>
      <c r="E240" s="31" t="s">
        <v>15</v>
      </c>
      <c r="F240" s="10">
        <v>44435</v>
      </c>
      <c r="G240" s="116" t="s">
        <v>332</v>
      </c>
      <c r="H240" s="31" t="s">
        <v>13</v>
      </c>
      <c r="I240" s="24">
        <v>4913.09</v>
      </c>
      <c r="J240" s="24">
        <v>3464.75</v>
      </c>
      <c r="K240" s="17">
        <f>(I240-J240)/I240</f>
        <v>0.2947920758626445</v>
      </c>
      <c r="L240" s="24">
        <v>294.67</v>
      </c>
      <c r="M240" s="17">
        <f>L240/I240</f>
        <v>5.9976511726835866E-2</v>
      </c>
      <c r="N240" s="24">
        <v>-952.91</v>
      </c>
      <c r="O240" s="25">
        <v>261.52</v>
      </c>
      <c r="P240" s="25">
        <v>0</v>
      </c>
      <c r="Q240" s="12"/>
    </row>
    <row r="241" spans="2:17" s="2" customFormat="1" ht="15.75" hidden="1" x14ac:dyDescent="0.25">
      <c r="B241" s="31">
        <f t="shared" si="25"/>
        <v>237</v>
      </c>
      <c r="C241" s="31"/>
      <c r="D241" s="31"/>
      <c r="E241" s="31"/>
      <c r="F241" s="10"/>
      <c r="G241" s="28"/>
      <c r="H241" s="31"/>
      <c r="I241" s="24"/>
      <c r="J241" s="24"/>
      <c r="K241" s="17" t="e">
        <f t="shared" si="26"/>
        <v>#DIV/0!</v>
      </c>
      <c r="L241" s="24"/>
      <c r="M241" s="17" t="e">
        <f t="shared" si="27"/>
        <v>#DIV/0!</v>
      </c>
      <c r="N241" s="24"/>
      <c r="O241" s="25">
        <v>0</v>
      </c>
      <c r="P241" s="25">
        <v>0</v>
      </c>
      <c r="Q241" s="12"/>
    </row>
    <row r="242" spans="2:17" s="2" customFormat="1" ht="15.75" hidden="1" x14ac:dyDescent="0.25">
      <c r="B242" s="31">
        <f t="shared" si="25"/>
        <v>238</v>
      </c>
      <c r="C242" s="31"/>
      <c r="D242" s="31"/>
      <c r="E242" s="31"/>
      <c r="F242" s="10"/>
      <c r="G242" s="28"/>
      <c r="H242" s="31"/>
      <c r="I242" s="24"/>
      <c r="J242" s="24"/>
      <c r="K242" s="17" t="e">
        <f t="shared" si="26"/>
        <v>#DIV/0!</v>
      </c>
      <c r="L242" s="24"/>
      <c r="M242" s="17" t="e">
        <f t="shared" si="27"/>
        <v>#DIV/0!</v>
      </c>
      <c r="N242" s="24"/>
      <c r="O242" s="25">
        <v>0</v>
      </c>
      <c r="P242" s="25">
        <v>0</v>
      </c>
      <c r="Q242" s="12"/>
    </row>
    <row r="243" spans="2:17" s="2" customFormat="1" ht="15.75" x14ac:dyDescent="0.25">
      <c r="C243" s="3"/>
      <c r="D243" s="3"/>
      <c r="E243" s="3"/>
      <c r="F243" s="3"/>
      <c r="G243" s="27"/>
      <c r="H243" s="3"/>
      <c r="I243" s="21"/>
      <c r="J243" s="21"/>
      <c r="K243" s="16"/>
      <c r="L243" s="21"/>
      <c r="M243" s="16"/>
      <c r="N243" s="22"/>
      <c r="O243" s="22"/>
      <c r="P243" s="22"/>
      <c r="Q243" s="8"/>
    </row>
    <row r="244" spans="2:17" s="2" customFormat="1" ht="15.75" x14ac:dyDescent="0.25">
      <c r="C244" s="3"/>
      <c r="D244" s="3"/>
      <c r="E244" s="3"/>
      <c r="F244" s="3"/>
      <c r="G244" s="27"/>
      <c r="H244" s="3"/>
      <c r="I244" s="21"/>
      <c r="J244" s="21"/>
      <c r="K244" s="16"/>
      <c r="L244" s="21"/>
      <c r="M244" s="16"/>
      <c r="N244" s="22"/>
      <c r="O244" s="22"/>
      <c r="P244" s="22"/>
      <c r="Q244" s="8"/>
    </row>
    <row r="245" spans="2:17" s="2" customFormat="1" ht="15.75" x14ac:dyDescent="0.25">
      <c r="C245" s="3"/>
      <c r="D245" s="3"/>
      <c r="E245" s="3"/>
      <c r="F245" s="3"/>
      <c r="G245" s="27"/>
      <c r="H245" s="3"/>
      <c r="I245" s="21"/>
      <c r="J245" s="21"/>
      <c r="K245" s="16"/>
      <c r="L245" s="21"/>
      <c r="M245" s="16"/>
      <c r="N245" s="22"/>
      <c r="O245" s="22"/>
      <c r="P245" s="22"/>
      <c r="Q245" s="8"/>
    </row>
    <row r="246" spans="2:17" s="2" customFormat="1" ht="15.75" x14ac:dyDescent="0.25">
      <c r="C246" s="3"/>
      <c r="D246" s="3"/>
      <c r="E246" s="3"/>
      <c r="F246" s="3"/>
      <c r="G246" s="27"/>
      <c r="H246" s="3"/>
      <c r="I246" s="21"/>
      <c r="J246" s="21"/>
      <c r="K246" s="16"/>
      <c r="L246" s="21"/>
      <c r="M246" s="16"/>
      <c r="N246" s="22"/>
      <c r="O246" s="22"/>
      <c r="P246" s="22"/>
      <c r="Q246" s="8"/>
    </row>
    <row r="247" spans="2:17" s="2" customFormat="1" ht="15.75" x14ac:dyDescent="0.25">
      <c r="C247" s="3"/>
      <c r="D247" s="3"/>
      <c r="E247" s="3"/>
      <c r="F247" s="3"/>
      <c r="G247" s="27"/>
      <c r="H247" s="3"/>
      <c r="I247" s="21"/>
      <c r="J247" s="21"/>
      <c r="K247" s="16"/>
      <c r="L247" s="21"/>
      <c r="M247" s="16"/>
      <c r="N247" s="22"/>
      <c r="O247" s="22"/>
      <c r="P247" s="22"/>
      <c r="Q247" s="8"/>
    </row>
    <row r="248" spans="2:17" s="2" customFormat="1" ht="15.75" x14ac:dyDescent="0.25">
      <c r="C248" s="3"/>
      <c r="D248" s="3"/>
      <c r="E248" s="3"/>
      <c r="F248" s="3"/>
      <c r="G248" s="27"/>
      <c r="H248" s="3"/>
      <c r="I248" s="21"/>
      <c r="J248" s="21"/>
      <c r="K248" s="16"/>
      <c r="L248" s="21"/>
      <c r="M248" s="16"/>
      <c r="N248" s="22"/>
      <c r="O248" s="22"/>
      <c r="P248" s="22"/>
      <c r="Q248" s="8"/>
    </row>
    <row r="249" spans="2:17" s="2" customFormat="1" ht="15.75" x14ac:dyDescent="0.25">
      <c r="C249" s="3"/>
      <c r="D249" s="3"/>
      <c r="E249" s="3"/>
      <c r="F249" s="3"/>
      <c r="G249" s="27"/>
      <c r="H249" s="3"/>
      <c r="I249" s="21"/>
      <c r="J249" s="21"/>
      <c r="K249" s="16"/>
      <c r="L249" s="21"/>
      <c r="M249" s="16"/>
      <c r="N249" s="22"/>
      <c r="O249" s="22"/>
      <c r="P249" s="22"/>
      <c r="Q249" s="8"/>
    </row>
    <row r="250" spans="2:17" s="2" customFormat="1" ht="15.75" x14ac:dyDescent="0.25">
      <c r="C250" s="3"/>
      <c r="D250" s="3"/>
      <c r="E250" s="3"/>
      <c r="F250" s="3"/>
      <c r="G250" s="27"/>
      <c r="H250" s="3"/>
      <c r="I250" s="21"/>
      <c r="J250" s="21"/>
      <c r="K250" s="16"/>
      <c r="L250" s="21"/>
      <c r="M250" s="16"/>
      <c r="N250" s="22"/>
      <c r="O250" s="22"/>
      <c r="P250" s="22"/>
      <c r="Q250" s="8"/>
    </row>
    <row r="251" spans="2:17" s="2" customFormat="1" ht="15.75" x14ac:dyDescent="0.25">
      <c r="C251" s="3"/>
      <c r="D251" s="3"/>
      <c r="E251" s="3"/>
      <c r="F251" s="3"/>
      <c r="G251" s="27"/>
      <c r="H251" s="3"/>
      <c r="I251" s="21"/>
      <c r="J251" s="21"/>
      <c r="K251" s="16"/>
      <c r="L251" s="21"/>
      <c r="M251" s="16"/>
      <c r="N251" s="22"/>
      <c r="O251" s="22"/>
      <c r="P251" s="22"/>
      <c r="Q251" s="8"/>
    </row>
    <row r="252" spans="2:17" s="2" customFormat="1" ht="15.75" x14ac:dyDescent="0.25">
      <c r="C252" s="3"/>
      <c r="D252" s="3"/>
      <c r="E252" s="3"/>
      <c r="F252" s="3"/>
      <c r="G252" s="27"/>
      <c r="H252" s="3"/>
      <c r="I252" s="21"/>
      <c r="J252" s="21"/>
      <c r="K252" s="16"/>
      <c r="L252" s="21"/>
      <c r="M252" s="16"/>
      <c r="N252" s="22"/>
      <c r="O252" s="22"/>
      <c r="P252" s="22"/>
      <c r="Q252" s="8"/>
    </row>
    <row r="253" spans="2:17" s="2" customFormat="1" ht="15.75" x14ac:dyDescent="0.25">
      <c r="C253" s="3"/>
      <c r="D253" s="3"/>
      <c r="E253" s="3"/>
      <c r="F253" s="3"/>
      <c r="G253" s="27"/>
      <c r="H253" s="3"/>
      <c r="I253" s="21"/>
      <c r="J253" s="21"/>
      <c r="K253" s="16"/>
      <c r="L253" s="21"/>
      <c r="M253" s="16"/>
      <c r="N253" s="22"/>
      <c r="O253" s="22"/>
      <c r="P253" s="22"/>
      <c r="Q253" s="8"/>
    </row>
    <row r="254" spans="2:17" s="2" customFormat="1" ht="15.75" x14ac:dyDescent="0.25">
      <c r="C254" s="3"/>
      <c r="D254" s="3"/>
      <c r="E254" s="3"/>
      <c r="F254" s="3"/>
      <c r="G254" s="27"/>
      <c r="H254" s="3"/>
      <c r="I254" s="21"/>
      <c r="J254" s="21"/>
      <c r="K254" s="16"/>
      <c r="L254" s="21"/>
      <c r="M254" s="16"/>
      <c r="N254" s="22"/>
      <c r="O254" s="22"/>
      <c r="P254" s="22"/>
      <c r="Q254" s="8"/>
    </row>
    <row r="255" spans="2:17" s="2" customFormat="1" ht="15.75" x14ac:dyDescent="0.25">
      <c r="C255" s="3"/>
      <c r="D255" s="3"/>
      <c r="E255" s="3"/>
      <c r="F255" s="3"/>
      <c r="G255" s="27"/>
      <c r="H255" s="3"/>
      <c r="I255" s="21"/>
      <c r="J255" s="21"/>
      <c r="K255" s="16"/>
      <c r="L255" s="21"/>
      <c r="M255" s="16"/>
      <c r="N255" s="22"/>
      <c r="O255" s="22"/>
      <c r="P255" s="22"/>
      <c r="Q255" s="8"/>
    </row>
    <row r="256" spans="2:17" s="2" customFormat="1" ht="15.75" x14ac:dyDescent="0.25">
      <c r="C256" s="3"/>
      <c r="D256" s="3"/>
      <c r="E256" s="3"/>
      <c r="F256" s="3"/>
      <c r="G256" s="27"/>
      <c r="H256" s="3"/>
      <c r="I256" s="21"/>
      <c r="J256" s="21"/>
      <c r="K256" s="16"/>
      <c r="L256" s="21"/>
      <c r="M256" s="16"/>
      <c r="N256" s="22"/>
      <c r="O256" s="22"/>
      <c r="P256" s="22"/>
      <c r="Q256" s="8"/>
    </row>
    <row r="257" spans="3:17" s="2" customFormat="1" ht="15.75" x14ac:dyDescent="0.25">
      <c r="C257" s="3"/>
      <c r="D257" s="3"/>
      <c r="E257" s="3"/>
      <c r="F257" s="3"/>
      <c r="G257" s="27"/>
      <c r="H257" s="3"/>
      <c r="I257" s="21"/>
      <c r="J257" s="21"/>
      <c r="K257" s="16"/>
      <c r="L257" s="21"/>
      <c r="M257" s="16"/>
      <c r="N257" s="22"/>
      <c r="O257" s="22"/>
      <c r="P257" s="22"/>
      <c r="Q257" s="8"/>
    </row>
    <row r="258" spans="3:17" s="2" customFormat="1" ht="15.75" x14ac:dyDescent="0.25">
      <c r="C258" s="3"/>
      <c r="D258" s="3"/>
      <c r="E258" s="3"/>
      <c r="F258" s="3"/>
      <c r="G258" s="27"/>
      <c r="H258" s="3"/>
      <c r="I258" s="21"/>
      <c r="J258" s="21"/>
      <c r="K258" s="16"/>
      <c r="L258" s="21"/>
      <c r="M258" s="16"/>
      <c r="N258" s="22"/>
      <c r="O258" s="22"/>
      <c r="P258" s="22"/>
      <c r="Q258" s="8"/>
    </row>
    <row r="259" spans="3:17" s="2" customFormat="1" ht="15.75" x14ac:dyDescent="0.25">
      <c r="C259" s="3"/>
      <c r="D259" s="3"/>
      <c r="E259" s="3"/>
      <c r="F259" s="3"/>
      <c r="G259" s="27"/>
      <c r="H259" s="3"/>
      <c r="I259" s="21"/>
      <c r="J259" s="21"/>
      <c r="K259" s="16"/>
      <c r="L259" s="21"/>
      <c r="M259" s="16"/>
      <c r="N259" s="22"/>
      <c r="O259" s="22"/>
      <c r="P259" s="22"/>
      <c r="Q259" s="8"/>
    </row>
    <row r="260" spans="3:17" s="2" customFormat="1" ht="15.75" x14ac:dyDescent="0.25">
      <c r="C260" s="3"/>
      <c r="D260" s="3"/>
      <c r="E260" s="3"/>
      <c r="F260" s="3"/>
      <c r="G260" s="27"/>
      <c r="H260" s="3"/>
      <c r="I260" s="21"/>
      <c r="J260" s="21"/>
      <c r="K260" s="16"/>
      <c r="L260" s="21"/>
      <c r="M260" s="16"/>
      <c r="N260" s="22"/>
      <c r="O260" s="22"/>
      <c r="P260" s="22"/>
      <c r="Q260" s="8"/>
    </row>
    <row r="261" spans="3:17" s="2" customFormat="1" ht="15.75" x14ac:dyDescent="0.25">
      <c r="C261" s="3"/>
      <c r="D261" s="3"/>
      <c r="E261" s="3"/>
      <c r="F261" s="3"/>
      <c r="G261" s="27"/>
      <c r="H261" s="3"/>
      <c r="I261" s="21"/>
      <c r="J261" s="21"/>
      <c r="K261" s="16"/>
      <c r="L261" s="21"/>
      <c r="M261" s="16"/>
      <c r="N261" s="22"/>
      <c r="O261" s="22"/>
      <c r="P261" s="22"/>
      <c r="Q261" s="8"/>
    </row>
    <row r="262" spans="3:17" s="2" customFormat="1" ht="15.75" x14ac:dyDescent="0.25">
      <c r="C262" s="3"/>
      <c r="D262" s="3"/>
      <c r="E262" s="3"/>
      <c r="F262" s="3"/>
      <c r="G262" s="27"/>
      <c r="H262" s="3"/>
      <c r="I262" s="21"/>
      <c r="J262" s="21"/>
      <c r="K262" s="16"/>
      <c r="L262" s="21"/>
      <c r="M262" s="16"/>
      <c r="N262" s="22"/>
      <c r="O262" s="22"/>
      <c r="P262" s="22"/>
      <c r="Q262" s="8"/>
    </row>
    <row r="263" spans="3:17" s="2" customFormat="1" ht="15.75" x14ac:dyDescent="0.25">
      <c r="C263" s="3"/>
      <c r="D263" s="3"/>
      <c r="E263" s="3"/>
      <c r="F263" s="3"/>
      <c r="G263" s="27"/>
      <c r="H263" s="3"/>
      <c r="I263" s="21"/>
      <c r="J263" s="21"/>
      <c r="K263" s="16"/>
      <c r="L263" s="21"/>
      <c r="M263" s="16"/>
      <c r="N263" s="22"/>
      <c r="O263" s="22"/>
      <c r="P263" s="22"/>
      <c r="Q263" s="8"/>
    </row>
    <row r="264" spans="3:17" s="2" customFormat="1" ht="15.75" x14ac:dyDescent="0.25">
      <c r="C264" s="3"/>
      <c r="D264" s="3"/>
      <c r="E264" s="3"/>
      <c r="F264" s="3"/>
      <c r="G264" s="27"/>
      <c r="H264" s="3"/>
      <c r="I264" s="21"/>
      <c r="J264" s="21"/>
      <c r="K264" s="16"/>
      <c r="L264" s="21"/>
      <c r="M264" s="16"/>
      <c r="N264" s="22"/>
      <c r="O264" s="22"/>
      <c r="P264" s="22"/>
      <c r="Q264" s="8"/>
    </row>
    <row r="265" spans="3:17" s="2" customFormat="1" ht="15.75" x14ac:dyDescent="0.25">
      <c r="C265" s="3"/>
      <c r="D265" s="3"/>
      <c r="E265" s="3"/>
      <c r="F265" s="3"/>
      <c r="G265" s="27"/>
      <c r="H265" s="3"/>
      <c r="I265" s="21"/>
      <c r="J265" s="21"/>
      <c r="K265" s="16"/>
      <c r="L265" s="21"/>
      <c r="M265" s="16"/>
      <c r="N265" s="22"/>
      <c r="O265" s="22"/>
      <c r="P265" s="22"/>
      <c r="Q265" s="8"/>
    </row>
    <row r="266" spans="3:17" s="2" customFormat="1" ht="15.75" x14ac:dyDescent="0.25">
      <c r="C266" s="3"/>
      <c r="D266" s="3"/>
      <c r="E266" s="3"/>
      <c r="F266" s="3"/>
      <c r="G266" s="27"/>
      <c r="H266" s="3"/>
      <c r="I266" s="21"/>
      <c r="J266" s="21"/>
      <c r="K266" s="16"/>
      <c r="L266" s="21"/>
      <c r="M266" s="16"/>
      <c r="N266" s="22"/>
      <c r="O266" s="22"/>
      <c r="P266" s="22"/>
      <c r="Q266" s="8"/>
    </row>
    <row r="267" spans="3:17" s="2" customFormat="1" ht="15.75" x14ac:dyDescent="0.25">
      <c r="C267" s="3"/>
      <c r="D267" s="3"/>
      <c r="E267" s="3"/>
      <c r="F267" s="3"/>
      <c r="G267" s="27"/>
      <c r="H267" s="3"/>
      <c r="I267" s="21"/>
      <c r="J267" s="21"/>
      <c r="K267" s="16"/>
      <c r="L267" s="21"/>
      <c r="M267" s="16"/>
      <c r="N267" s="22"/>
      <c r="O267" s="22"/>
      <c r="P267" s="22"/>
      <c r="Q267" s="8"/>
    </row>
    <row r="268" spans="3:17" s="2" customFormat="1" ht="15.75" x14ac:dyDescent="0.25">
      <c r="C268" s="3"/>
      <c r="D268" s="3"/>
      <c r="E268" s="3"/>
      <c r="F268" s="3"/>
      <c r="G268" s="27"/>
      <c r="H268" s="3"/>
      <c r="I268" s="21"/>
      <c r="J268" s="21"/>
      <c r="K268" s="16"/>
      <c r="L268" s="21"/>
      <c r="M268" s="16"/>
      <c r="N268" s="22"/>
      <c r="O268" s="22"/>
      <c r="P268" s="22"/>
      <c r="Q268" s="8"/>
    </row>
    <row r="269" spans="3:17" s="2" customFormat="1" ht="15.75" x14ac:dyDescent="0.25">
      <c r="C269" s="3"/>
      <c r="D269" s="3"/>
      <c r="E269" s="3"/>
      <c r="F269" s="3"/>
      <c r="G269" s="27"/>
      <c r="H269" s="3"/>
      <c r="I269" s="21"/>
      <c r="J269" s="21"/>
      <c r="K269" s="16"/>
      <c r="L269" s="21"/>
      <c r="M269" s="16"/>
      <c r="N269" s="22"/>
      <c r="O269" s="22"/>
      <c r="P269" s="22"/>
      <c r="Q269" s="8"/>
    </row>
    <row r="270" spans="3:17" s="2" customFormat="1" ht="15.75" x14ac:dyDescent="0.25">
      <c r="C270" s="3"/>
      <c r="D270" s="3"/>
      <c r="E270" s="3"/>
      <c r="F270" s="3"/>
      <c r="G270" s="27"/>
      <c r="H270" s="3"/>
      <c r="I270" s="21"/>
      <c r="J270" s="21"/>
      <c r="K270" s="16"/>
      <c r="L270" s="21"/>
      <c r="M270" s="16"/>
      <c r="N270" s="22"/>
      <c r="O270" s="22"/>
      <c r="P270" s="22"/>
      <c r="Q270" s="8"/>
    </row>
    <row r="271" spans="3:17" s="2" customFormat="1" ht="15.75" x14ac:dyDescent="0.25">
      <c r="C271" s="3"/>
      <c r="D271" s="3"/>
      <c r="E271" s="3"/>
      <c r="F271" s="3"/>
      <c r="G271" s="27"/>
      <c r="H271" s="3"/>
      <c r="I271" s="21"/>
      <c r="J271" s="21"/>
      <c r="K271" s="16"/>
      <c r="L271" s="21"/>
      <c r="M271" s="16"/>
      <c r="N271" s="22"/>
      <c r="O271" s="22"/>
      <c r="P271" s="22"/>
      <c r="Q271" s="8"/>
    </row>
    <row r="272" spans="3:17" s="2" customFormat="1" ht="15.75" x14ac:dyDescent="0.25">
      <c r="C272" s="3"/>
      <c r="D272" s="3"/>
      <c r="E272" s="3"/>
      <c r="F272" s="3"/>
      <c r="G272" s="27"/>
      <c r="H272" s="3"/>
      <c r="I272" s="21"/>
      <c r="J272" s="21"/>
      <c r="K272" s="16"/>
      <c r="L272" s="21"/>
      <c r="M272" s="16"/>
      <c r="N272" s="22"/>
      <c r="O272" s="22"/>
      <c r="P272" s="22"/>
      <c r="Q272" s="8"/>
    </row>
    <row r="273" spans="3:17" s="2" customFormat="1" ht="15.75" x14ac:dyDescent="0.25">
      <c r="C273" s="3"/>
      <c r="D273" s="3"/>
      <c r="E273" s="3"/>
      <c r="F273" s="3"/>
      <c r="G273" s="27"/>
      <c r="H273" s="3"/>
      <c r="I273" s="21"/>
      <c r="J273" s="21"/>
      <c r="K273" s="16"/>
      <c r="L273" s="21"/>
      <c r="M273" s="16"/>
      <c r="N273" s="22"/>
      <c r="O273" s="22"/>
      <c r="P273" s="22"/>
      <c r="Q273" s="8"/>
    </row>
    <row r="274" spans="3:17" s="2" customFormat="1" ht="15.75" x14ac:dyDescent="0.25">
      <c r="C274" s="3"/>
      <c r="D274" s="3"/>
      <c r="E274" s="3"/>
      <c r="F274" s="3"/>
      <c r="G274" s="27"/>
      <c r="H274" s="3"/>
      <c r="I274" s="21"/>
      <c r="J274" s="21"/>
      <c r="K274" s="16"/>
      <c r="L274" s="21"/>
      <c r="M274" s="16"/>
      <c r="N274" s="22"/>
      <c r="O274" s="22"/>
      <c r="P274" s="22"/>
      <c r="Q274" s="8"/>
    </row>
    <row r="275" spans="3:17" s="2" customFormat="1" ht="15.75" x14ac:dyDescent="0.25">
      <c r="C275" s="3"/>
      <c r="D275" s="3"/>
      <c r="E275" s="3"/>
      <c r="F275" s="3"/>
      <c r="G275" s="27"/>
      <c r="H275" s="3"/>
      <c r="I275" s="21"/>
      <c r="J275" s="21"/>
      <c r="K275" s="16"/>
      <c r="L275" s="21"/>
      <c r="M275" s="16"/>
      <c r="N275" s="22"/>
      <c r="O275" s="22"/>
      <c r="P275" s="22"/>
      <c r="Q275" s="8"/>
    </row>
    <row r="276" spans="3:17" s="2" customFormat="1" ht="15.75" x14ac:dyDescent="0.25">
      <c r="C276" s="3"/>
      <c r="D276" s="3"/>
      <c r="E276" s="3"/>
      <c r="F276" s="3"/>
      <c r="G276" s="27"/>
      <c r="H276" s="3"/>
      <c r="I276" s="21"/>
      <c r="J276" s="21"/>
      <c r="K276" s="16"/>
      <c r="L276" s="21"/>
      <c r="M276" s="16"/>
      <c r="N276" s="22"/>
      <c r="O276" s="22"/>
      <c r="P276" s="22"/>
      <c r="Q276" s="8"/>
    </row>
    <row r="277" spans="3:17" s="2" customFormat="1" ht="15.75" x14ac:dyDescent="0.25">
      <c r="C277" s="3"/>
      <c r="D277" s="3"/>
      <c r="E277" s="3"/>
      <c r="F277" s="3"/>
      <c r="G277" s="27"/>
      <c r="H277" s="3"/>
      <c r="I277" s="21"/>
      <c r="J277" s="21"/>
      <c r="K277" s="16"/>
      <c r="L277" s="21"/>
      <c r="M277" s="16"/>
      <c r="N277" s="22"/>
      <c r="O277" s="22"/>
      <c r="P277" s="22"/>
      <c r="Q277" s="8"/>
    </row>
    <row r="278" spans="3:17" s="2" customFormat="1" ht="15.75" x14ac:dyDescent="0.25">
      <c r="C278" s="3"/>
      <c r="D278" s="3"/>
      <c r="E278" s="3"/>
      <c r="F278" s="3"/>
      <c r="G278" s="27"/>
      <c r="H278" s="3"/>
      <c r="I278" s="21"/>
      <c r="J278" s="21"/>
      <c r="K278" s="16"/>
      <c r="L278" s="21"/>
      <c r="M278" s="16"/>
      <c r="N278" s="22"/>
      <c r="O278" s="22"/>
      <c r="P278" s="22"/>
      <c r="Q278" s="8"/>
    </row>
    <row r="279" spans="3:17" s="2" customFormat="1" ht="15.75" x14ac:dyDescent="0.25">
      <c r="C279" s="3"/>
      <c r="D279" s="3"/>
      <c r="E279" s="3"/>
      <c r="F279" s="3"/>
      <c r="G279" s="27"/>
      <c r="H279" s="3"/>
      <c r="I279" s="21"/>
      <c r="J279" s="21"/>
      <c r="K279" s="16"/>
      <c r="L279" s="21"/>
      <c r="M279" s="16"/>
      <c r="N279" s="22"/>
      <c r="O279" s="22"/>
      <c r="P279" s="22"/>
      <c r="Q279" s="8"/>
    </row>
    <row r="280" spans="3:17" s="2" customFormat="1" ht="15.75" x14ac:dyDescent="0.25">
      <c r="C280" s="3"/>
      <c r="D280" s="3"/>
      <c r="E280" s="3"/>
      <c r="F280" s="3"/>
      <c r="G280" s="27"/>
      <c r="H280" s="3"/>
      <c r="I280" s="21"/>
      <c r="J280" s="21"/>
      <c r="K280" s="16"/>
      <c r="L280" s="21"/>
      <c r="M280" s="16"/>
      <c r="N280" s="22"/>
      <c r="O280" s="22"/>
      <c r="P280" s="22"/>
      <c r="Q280" s="8"/>
    </row>
    <row r="281" spans="3:17" s="2" customFormat="1" ht="15.75" x14ac:dyDescent="0.25">
      <c r="C281" s="3"/>
      <c r="D281" s="3"/>
      <c r="E281" s="3"/>
      <c r="F281" s="3"/>
      <c r="G281" s="27"/>
      <c r="H281" s="3"/>
      <c r="I281" s="21"/>
      <c r="J281" s="21"/>
      <c r="K281" s="16"/>
      <c r="L281" s="21"/>
      <c r="M281" s="16"/>
      <c r="N281" s="22"/>
      <c r="O281" s="22"/>
      <c r="P281" s="22"/>
      <c r="Q281" s="8"/>
    </row>
    <row r="282" spans="3:17" s="2" customFormat="1" ht="15.75" x14ac:dyDescent="0.25">
      <c r="C282" s="3"/>
      <c r="D282" s="3"/>
      <c r="E282" s="3"/>
      <c r="F282" s="3"/>
      <c r="G282" s="27"/>
      <c r="H282" s="3"/>
      <c r="I282" s="21"/>
      <c r="J282" s="21"/>
      <c r="K282" s="16"/>
      <c r="L282" s="21"/>
      <c r="M282" s="16"/>
      <c r="N282" s="22"/>
      <c r="O282" s="22"/>
      <c r="P282" s="22"/>
      <c r="Q282" s="8"/>
    </row>
    <row r="283" spans="3:17" s="2" customFormat="1" ht="15.75" x14ac:dyDescent="0.25">
      <c r="C283" s="3"/>
      <c r="D283" s="3"/>
      <c r="E283" s="3"/>
      <c r="F283" s="3"/>
      <c r="G283" s="27"/>
      <c r="H283" s="3"/>
      <c r="I283" s="21"/>
      <c r="J283" s="21"/>
      <c r="K283" s="16"/>
      <c r="L283" s="21"/>
      <c r="M283" s="16"/>
      <c r="N283" s="22"/>
      <c r="O283" s="22"/>
      <c r="P283" s="22"/>
      <c r="Q283" s="8"/>
    </row>
    <row r="284" spans="3:17" s="2" customFormat="1" ht="15.75" x14ac:dyDescent="0.25">
      <c r="C284" s="3"/>
      <c r="D284" s="3"/>
      <c r="E284" s="3"/>
      <c r="F284" s="3"/>
      <c r="G284" s="27"/>
      <c r="H284" s="3"/>
      <c r="I284" s="21"/>
      <c r="J284" s="21"/>
      <c r="K284" s="16"/>
      <c r="L284" s="21"/>
      <c r="M284" s="16"/>
      <c r="N284" s="22"/>
      <c r="O284" s="22"/>
      <c r="P284" s="22"/>
      <c r="Q284" s="8"/>
    </row>
    <row r="285" spans="3:17" s="2" customFormat="1" ht="15.75" x14ac:dyDescent="0.25">
      <c r="C285" s="3"/>
      <c r="D285" s="3"/>
      <c r="E285" s="3"/>
      <c r="F285" s="3"/>
      <c r="G285" s="27"/>
      <c r="H285" s="3"/>
      <c r="I285" s="21"/>
      <c r="J285" s="21"/>
      <c r="K285" s="16"/>
      <c r="L285" s="21"/>
      <c r="M285" s="16"/>
      <c r="N285" s="22"/>
      <c r="O285" s="22"/>
      <c r="P285" s="22"/>
      <c r="Q285" s="8"/>
    </row>
    <row r="286" spans="3:17" s="2" customFormat="1" ht="15.75" x14ac:dyDescent="0.25">
      <c r="C286" s="3"/>
      <c r="D286" s="3"/>
      <c r="E286" s="3"/>
      <c r="F286" s="3"/>
      <c r="G286" s="27"/>
      <c r="H286" s="3"/>
      <c r="I286" s="21"/>
      <c r="J286" s="21"/>
      <c r="K286" s="16"/>
      <c r="L286" s="21"/>
      <c r="M286" s="16"/>
      <c r="N286" s="22"/>
      <c r="O286" s="22"/>
      <c r="P286" s="22"/>
      <c r="Q286" s="8"/>
    </row>
    <row r="287" spans="3:17" s="2" customFormat="1" ht="15.75" x14ac:dyDescent="0.25">
      <c r="C287" s="3"/>
      <c r="D287" s="3"/>
      <c r="E287" s="3"/>
      <c r="F287" s="3"/>
      <c r="G287" s="27"/>
      <c r="H287" s="3"/>
      <c r="I287" s="21"/>
      <c r="J287" s="21"/>
      <c r="K287" s="16"/>
      <c r="L287" s="21"/>
      <c r="M287" s="16"/>
      <c r="N287" s="22"/>
      <c r="O287" s="22"/>
      <c r="P287" s="22"/>
      <c r="Q287" s="8"/>
    </row>
    <row r="288" spans="3:17" s="2" customFormat="1" ht="15.75" x14ac:dyDescent="0.25">
      <c r="C288" s="3"/>
      <c r="D288" s="3"/>
      <c r="E288" s="3"/>
      <c r="F288" s="3"/>
      <c r="G288" s="27"/>
      <c r="H288" s="3"/>
      <c r="I288" s="21"/>
      <c r="J288" s="21"/>
      <c r="K288" s="16"/>
      <c r="L288" s="21"/>
      <c r="M288" s="16"/>
      <c r="N288" s="22"/>
      <c r="O288" s="22"/>
      <c r="P288" s="22"/>
      <c r="Q288" s="8"/>
    </row>
    <row r="289" spans="3:17" s="2" customFormat="1" ht="15.75" x14ac:dyDescent="0.25">
      <c r="C289" s="3"/>
      <c r="D289" s="3"/>
      <c r="E289" s="3"/>
      <c r="F289" s="3"/>
      <c r="G289" s="27"/>
      <c r="H289" s="3"/>
      <c r="I289" s="21"/>
      <c r="J289" s="21"/>
      <c r="K289" s="16"/>
      <c r="L289" s="21"/>
      <c r="M289" s="16"/>
      <c r="N289" s="22"/>
      <c r="O289" s="22"/>
      <c r="P289" s="22"/>
      <c r="Q289" s="8"/>
    </row>
    <row r="290" spans="3:17" s="2" customFormat="1" ht="15.75" x14ac:dyDescent="0.25">
      <c r="C290" s="3"/>
      <c r="D290" s="3"/>
      <c r="E290" s="3"/>
      <c r="F290" s="3"/>
      <c r="G290" s="27"/>
      <c r="H290" s="3"/>
      <c r="I290" s="21"/>
      <c r="J290" s="21"/>
      <c r="K290" s="16"/>
      <c r="L290" s="21"/>
      <c r="M290" s="16"/>
      <c r="N290" s="22"/>
      <c r="O290" s="22"/>
      <c r="P290" s="22"/>
      <c r="Q290" s="8"/>
    </row>
    <row r="291" spans="3:17" s="2" customFormat="1" ht="15.75" x14ac:dyDescent="0.25">
      <c r="C291" s="3"/>
      <c r="D291" s="3"/>
      <c r="E291" s="3"/>
      <c r="F291" s="3"/>
      <c r="G291" s="27"/>
      <c r="H291" s="3"/>
      <c r="I291" s="21"/>
      <c r="J291" s="21"/>
      <c r="K291" s="16"/>
      <c r="L291" s="21"/>
      <c r="M291" s="16"/>
      <c r="N291" s="22"/>
      <c r="O291" s="22"/>
      <c r="P291" s="22"/>
      <c r="Q291" s="8"/>
    </row>
    <row r="292" spans="3:17" s="2" customFormat="1" ht="15.75" x14ac:dyDescent="0.25">
      <c r="C292" s="3"/>
      <c r="D292" s="3"/>
      <c r="E292" s="3"/>
      <c r="F292" s="3"/>
      <c r="G292" s="27"/>
      <c r="H292" s="3"/>
      <c r="I292" s="21"/>
      <c r="J292" s="21"/>
      <c r="K292" s="16"/>
      <c r="L292" s="21"/>
      <c r="M292" s="16"/>
      <c r="N292" s="22"/>
      <c r="O292" s="22"/>
      <c r="P292" s="22"/>
      <c r="Q292" s="8"/>
    </row>
    <row r="293" spans="3:17" s="2" customFormat="1" ht="15.75" x14ac:dyDescent="0.25">
      <c r="C293" s="3"/>
      <c r="D293" s="3"/>
      <c r="E293" s="3"/>
      <c r="F293" s="3"/>
      <c r="G293" s="27"/>
      <c r="H293" s="3"/>
      <c r="I293" s="21"/>
      <c r="J293" s="21"/>
      <c r="K293" s="16"/>
      <c r="L293" s="21"/>
      <c r="M293" s="16"/>
      <c r="N293" s="22"/>
      <c r="O293" s="22"/>
      <c r="P293" s="22"/>
      <c r="Q293" s="8"/>
    </row>
    <row r="294" spans="3:17" s="2" customFormat="1" ht="15.75" x14ac:dyDescent="0.25">
      <c r="C294" s="3"/>
      <c r="D294" s="3"/>
      <c r="E294" s="3"/>
      <c r="F294" s="3"/>
      <c r="G294" s="27"/>
      <c r="H294" s="3"/>
      <c r="I294" s="21"/>
      <c r="J294" s="21"/>
      <c r="K294" s="16"/>
      <c r="L294" s="21"/>
      <c r="M294" s="16"/>
      <c r="N294" s="22"/>
      <c r="O294" s="22"/>
      <c r="P294" s="22"/>
      <c r="Q294" s="8"/>
    </row>
    <row r="295" spans="3:17" s="2" customFormat="1" ht="15.75" x14ac:dyDescent="0.25">
      <c r="C295" s="3"/>
      <c r="D295" s="3"/>
      <c r="E295" s="3"/>
      <c r="F295" s="3"/>
      <c r="G295" s="27"/>
      <c r="H295" s="3"/>
      <c r="I295" s="21"/>
      <c r="J295" s="21"/>
      <c r="K295" s="16"/>
      <c r="L295" s="21"/>
      <c r="M295" s="16"/>
      <c r="N295" s="22"/>
      <c r="O295" s="22"/>
      <c r="P295" s="22"/>
      <c r="Q295" s="8"/>
    </row>
    <row r="296" spans="3:17" s="2" customFormat="1" ht="15.75" x14ac:dyDescent="0.25">
      <c r="C296" s="3"/>
      <c r="D296" s="3"/>
      <c r="E296" s="3"/>
      <c r="F296" s="3"/>
      <c r="G296" s="27"/>
      <c r="H296" s="3"/>
      <c r="I296" s="21"/>
      <c r="J296" s="21"/>
      <c r="K296" s="16"/>
      <c r="L296" s="21"/>
      <c r="M296" s="16"/>
      <c r="N296" s="22"/>
      <c r="O296" s="22"/>
      <c r="P296" s="22"/>
      <c r="Q296" s="8"/>
    </row>
    <row r="297" spans="3:17" s="2" customFormat="1" ht="15.75" x14ac:dyDescent="0.25">
      <c r="C297" s="3"/>
      <c r="D297" s="3"/>
      <c r="E297" s="3"/>
      <c r="F297" s="3"/>
      <c r="G297" s="27"/>
      <c r="H297" s="3"/>
      <c r="I297" s="21"/>
      <c r="J297" s="21"/>
      <c r="K297" s="16"/>
      <c r="L297" s="21"/>
      <c r="M297" s="16"/>
      <c r="N297" s="22"/>
      <c r="O297" s="22"/>
      <c r="P297" s="22"/>
      <c r="Q297" s="8"/>
    </row>
    <row r="298" spans="3:17" s="2" customFormat="1" ht="15.75" x14ac:dyDescent="0.25">
      <c r="C298" s="3"/>
      <c r="D298" s="3"/>
      <c r="E298" s="3"/>
      <c r="F298" s="3"/>
      <c r="G298" s="27"/>
      <c r="H298" s="3"/>
      <c r="I298" s="21"/>
      <c r="J298" s="21"/>
      <c r="K298" s="16"/>
      <c r="L298" s="21"/>
      <c r="M298" s="16"/>
      <c r="N298" s="22"/>
      <c r="O298" s="22"/>
      <c r="P298" s="22"/>
      <c r="Q298" s="8"/>
    </row>
    <row r="299" spans="3:17" s="2" customFormat="1" ht="15.75" x14ac:dyDescent="0.25">
      <c r="C299" s="3"/>
      <c r="D299" s="3"/>
      <c r="E299" s="3"/>
      <c r="F299" s="3"/>
      <c r="G299" s="27"/>
      <c r="H299" s="3"/>
      <c r="I299" s="21"/>
      <c r="J299" s="21"/>
      <c r="K299" s="16"/>
      <c r="L299" s="21"/>
      <c r="M299" s="16"/>
      <c r="N299" s="22"/>
      <c r="O299" s="22"/>
      <c r="P299" s="22"/>
      <c r="Q299" s="8"/>
    </row>
    <row r="300" spans="3:17" s="2" customFormat="1" ht="15.75" x14ac:dyDescent="0.25">
      <c r="C300" s="3"/>
      <c r="D300" s="3"/>
      <c r="E300" s="3"/>
      <c r="F300" s="3"/>
      <c r="G300" s="27"/>
      <c r="H300" s="3"/>
      <c r="I300" s="21"/>
      <c r="J300" s="21"/>
      <c r="K300" s="16"/>
      <c r="L300" s="21"/>
      <c r="M300" s="16"/>
      <c r="N300" s="22"/>
      <c r="O300" s="22"/>
      <c r="P300" s="22"/>
      <c r="Q300" s="8"/>
    </row>
    <row r="301" spans="3:17" s="2" customFormat="1" ht="15.75" x14ac:dyDescent="0.25">
      <c r="C301" s="3"/>
      <c r="D301" s="3"/>
      <c r="E301" s="3"/>
      <c r="F301" s="3"/>
      <c r="G301" s="27"/>
      <c r="H301" s="3"/>
      <c r="I301" s="21"/>
      <c r="J301" s="21"/>
      <c r="K301" s="16"/>
      <c r="L301" s="21"/>
      <c r="M301" s="16"/>
      <c r="N301" s="22"/>
      <c r="O301" s="22"/>
      <c r="P301" s="22"/>
      <c r="Q301" s="8"/>
    </row>
    <row r="302" spans="3:17" s="2" customFormat="1" ht="15.75" x14ac:dyDescent="0.25">
      <c r="C302" s="3"/>
      <c r="D302" s="3"/>
      <c r="E302" s="3"/>
      <c r="F302" s="3"/>
      <c r="G302" s="27"/>
      <c r="H302" s="3"/>
      <c r="I302" s="21"/>
      <c r="J302" s="21"/>
      <c r="K302" s="16"/>
      <c r="L302" s="21"/>
      <c r="M302" s="16"/>
      <c r="N302" s="22"/>
      <c r="O302" s="22"/>
      <c r="P302" s="22"/>
      <c r="Q302" s="8"/>
    </row>
    <row r="303" spans="3:17" s="2" customFormat="1" ht="15.75" x14ac:dyDescent="0.25">
      <c r="C303" s="3"/>
      <c r="D303" s="3"/>
      <c r="E303" s="3"/>
      <c r="F303" s="3"/>
      <c r="G303" s="27"/>
      <c r="H303" s="3"/>
      <c r="I303" s="21"/>
      <c r="J303" s="21"/>
      <c r="K303" s="16"/>
      <c r="L303" s="21"/>
      <c r="M303" s="16"/>
      <c r="N303" s="22"/>
      <c r="O303" s="22"/>
      <c r="P303" s="22"/>
      <c r="Q303" s="8"/>
    </row>
    <row r="304" spans="3:17" s="2" customFormat="1" ht="15.75" x14ac:dyDescent="0.25">
      <c r="C304" s="3"/>
      <c r="D304" s="3"/>
      <c r="E304" s="3"/>
      <c r="F304" s="3"/>
      <c r="G304" s="27"/>
      <c r="H304" s="3"/>
      <c r="I304" s="21"/>
      <c r="J304" s="21"/>
      <c r="K304" s="16"/>
      <c r="L304" s="21"/>
      <c r="M304" s="16"/>
      <c r="N304" s="22"/>
      <c r="O304" s="22"/>
      <c r="P304" s="22"/>
      <c r="Q304" s="8"/>
    </row>
    <row r="305" spans="3:17" s="2" customFormat="1" ht="15.75" x14ac:dyDescent="0.25">
      <c r="C305" s="3"/>
      <c r="D305" s="3"/>
      <c r="E305" s="3"/>
      <c r="F305" s="3"/>
      <c r="G305" s="27"/>
      <c r="H305" s="3"/>
      <c r="I305" s="21"/>
      <c r="J305" s="21"/>
      <c r="K305" s="16"/>
      <c r="L305" s="21"/>
      <c r="M305" s="16"/>
      <c r="N305" s="22"/>
      <c r="O305" s="22"/>
      <c r="P305" s="22"/>
      <c r="Q305" s="8"/>
    </row>
    <row r="306" spans="3:17" s="2" customFormat="1" ht="15.75" x14ac:dyDescent="0.25">
      <c r="C306" s="3"/>
      <c r="D306" s="3"/>
      <c r="E306" s="3"/>
      <c r="F306" s="3"/>
      <c r="G306" s="27"/>
      <c r="H306" s="3"/>
      <c r="I306" s="21"/>
      <c r="J306" s="21"/>
      <c r="K306" s="16"/>
      <c r="L306" s="21"/>
      <c r="M306" s="16"/>
      <c r="N306" s="22"/>
      <c r="O306" s="22"/>
      <c r="P306" s="22"/>
      <c r="Q306" s="8"/>
    </row>
    <row r="307" spans="3:17" s="2" customFormat="1" ht="15.75" x14ac:dyDescent="0.25">
      <c r="C307" s="3"/>
      <c r="D307" s="3"/>
      <c r="E307" s="3"/>
      <c r="F307" s="3"/>
      <c r="G307" s="27"/>
      <c r="H307" s="3"/>
      <c r="I307" s="21"/>
      <c r="J307" s="21"/>
      <c r="K307" s="16"/>
      <c r="L307" s="21"/>
      <c r="M307" s="16"/>
      <c r="N307" s="22"/>
      <c r="O307" s="22"/>
      <c r="P307" s="22"/>
      <c r="Q307" s="8"/>
    </row>
    <row r="308" spans="3:17" s="2" customFormat="1" ht="15.75" x14ac:dyDescent="0.25">
      <c r="C308" s="3"/>
      <c r="D308" s="3"/>
      <c r="E308" s="3"/>
      <c r="F308" s="3"/>
      <c r="G308" s="27"/>
      <c r="H308" s="3"/>
      <c r="I308" s="21"/>
      <c r="J308" s="21"/>
      <c r="K308" s="16"/>
      <c r="L308" s="21"/>
      <c r="M308" s="16"/>
      <c r="N308" s="22"/>
      <c r="O308" s="22"/>
      <c r="P308" s="22"/>
      <c r="Q308" s="8"/>
    </row>
    <row r="309" spans="3:17" s="2" customFormat="1" ht="15.75" x14ac:dyDescent="0.25">
      <c r="C309" s="3"/>
      <c r="D309" s="3"/>
      <c r="E309" s="3"/>
      <c r="F309" s="3"/>
      <c r="G309" s="27"/>
      <c r="H309" s="3"/>
      <c r="I309" s="21"/>
      <c r="J309" s="21"/>
      <c r="K309" s="16"/>
      <c r="L309" s="21"/>
      <c r="M309" s="16"/>
      <c r="N309" s="22"/>
      <c r="O309" s="22"/>
      <c r="P309" s="22"/>
      <c r="Q309" s="8"/>
    </row>
    <row r="310" spans="3:17" s="2" customFormat="1" ht="15.75" x14ac:dyDescent="0.25">
      <c r="C310" s="3"/>
      <c r="D310" s="3"/>
      <c r="E310" s="3"/>
      <c r="F310" s="3"/>
      <c r="G310" s="27"/>
      <c r="H310" s="3"/>
      <c r="I310" s="21"/>
      <c r="J310" s="21"/>
      <c r="K310" s="16"/>
      <c r="L310" s="21"/>
      <c r="M310" s="16"/>
      <c r="N310" s="22"/>
      <c r="O310" s="22"/>
      <c r="P310" s="22"/>
      <c r="Q310" s="8"/>
    </row>
    <row r="311" spans="3:17" s="2" customFormat="1" ht="15.75" x14ac:dyDescent="0.25">
      <c r="C311" s="3"/>
      <c r="D311" s="3"/>
      <c r="E311" s="3"/>
      <c r="F311" s="3"/>
      <c r="G311" s="27"/>
      <c r="H311" s="3"/>
      <c r="I311" s="21"/>
      <c r="J311" s="21"/>
      <c r="K311" s="16"/>
      <c r="L311" s="21"/>
      <c r="M311" s="16"/>
      <c r="N311" s="22"/>
      <c r="O311" s="22"/>
      <c r="P311" s="22"/>
      <c r="Q311" s="8"/>
    </row>
    <row r="312" spans="3:17" s="2" customFormat="1" ht="15.75" x14ac:dyDescent="0.25">
      <c r="C312" s="3"/>
      <c r="D312" s="3"/>
      <c r="E312" s="3"/>
      <c r="F312" s="3"/>
      <c r="G312" s="27"/>
      <c r="H312" s="3"/>
      <c r="I312" s="21"/>
      <c r="J312" s="21"/>
      <c r="K312" s="16"/>
      <c r="L312" s="21"/>
      <c r="M312" s="16"/>
      <c r="N312" s="22"/>
      <c r="O312" s="22"/>
      <c r="P312" s="22"/>
      <c r="Q312" s="8"/>
    </row>
    <row r="313" spans="3:17" s="2" customFormat="1" ht="15.75" x14ac:dyDescent="0.25">
      <c r="C313" s="3"/>
      <c r="D313" s="3"/>
      <c r="E313" s="3"/>
      <c r="F313" s="3"/>
      <c r="G313" s="27"/>
      <c r="H313" s="3"/>
      <c r="I313" s="21"/>
      <c r="J313" s="21"/>
      <c r="K313" s="16"/>
      <c r="L313" s="21"/>
      <c r="M313" s="16"/>
      <c r="N313" s="22"/>
      <c r="O313" s="22"/>
      <c r="P313" s="22"/>
      <c r="Q313" s="8"/>
    </row>
    <row r="314" spans="3:17" s="2" customFormat="1" ht="15.75" x14ac:dyDescent="0.25">
      <c r="C314" s="3"/>
      <c r="D314" s="3"/>
      <c r="E314" s="3"/>
      <c r="F314" s="3"/>
      <c r="G314" s="27"/>
      <c r="H314" s="3"/>
      <c r="I314" s="21"/>
      <c r="J314" s="21"/>
      <c r="K314" s="16"/>
      <c r="L314" s="21"/>
      <c r="M314" s="16"/>
      <c r="N314" s="22"/>
      <c r="O314" s="22"/>
      <c r="P314" s="22"/>
      <c r="Q314" s="8"/>
    </row>
    <row r="315" spans="3:17" s="2" customFormat="1" ht="15.75" x14ac:dyDescent="0.25">
      <c r="C315" s="3"/>
      <c r="D315" s="3"/>
      <c r="E315" s="3"/>
      <c r="F315" s="3"/>
      <c r="G315" s="27"/>
      <c r="H315" s="3"/>
      <c r="I315" s="21"/>
      <c r="J315" s="21"/>
      <c r="K315" s="16"/>
      <c r="L315" s="21"/>
      <c r="M315" s="16"/>
      <c r="N315" s="22"/>
      <c r="O315" s="22"/>
      <c r="P315" s="22"/>
      <c r="Q315" s="8"/>
    </row>
    <row r="316" spans="3:17" s="2" customFormat="1" ht="15.75" x14ac:dyDescent="0.25">
      <c r="C316" s="3"/>
      <c r="D316" s="3"/>
      <c r="E316" s="3"/>
      <c r="F316" s="3"/>
      <c r="G316" s="27"/>
      <c r="H316" s="3"/>
      <c r="I316" s="21"/>
      <c r="J316" s="21"/>
      <c r="K316" s="16"/>
      <c r="L316" s="21"/>
      <c r="M316" s="16"/>
      <c r="N316" s="22"/>
      <c r="O316" s="22"/>
      <c r="P316" s="22"/>
      <c r="Q316" s="8"/>
    </row>
    <row r="317" spans="3:17" s="2" customFormat="1" ht="15.75" x14ac:dyDescent="0.25">
      <c r="C317" s="3"/>
      <c r="D317" s="3"/>
      <c r="E317" s="3"/>
      <c r="F317" s="3"/>
      <c r="G317" s="27"/>
      <c r="H317" s="3"/>
      <c r="I317" s="21"/>
      <c r="J317" s="21"/>
      <c r="K317" s="16"/>
      <c r="L317" s="21"/>
      <c r="M317" s="16"/>
      <c r="N317" s="22"/>
      <c r="O317" s="22"/>
      <c r="P317" s="22"/>
      <c r="Q317" s="8"/>
    </row>
    <row r="318" spans="3:17" s="2" customFormat="1" ht="15.75" x14ac:dyDescent="0.25">
      <c r="C318" s="3"/>
      <c r="D318" s="3"/>
      <c r="E318" s="3"/>
      <c r="F318" s="3"/>
      <c r="G318" s="27"/>
      <c r="H318" s="3"/>
      <c r="I318" s="21"/>
      <c r="J318" s="21"/>
      <c r="K318" s="16"/>
      <c r="L318" s="21"/>
      <c r="M318" s="16"/>
      <c r="N318" s="22"/>
      <c r="O318" s="22"/>
      <c r="P318" s="22"/>
      <c r="Q318" s="8"/>
    </row>
    <row r="319" spans="3:17" s="2" customFormat="1" ht="15.75" x14ac:dyDescent="0.25">
      <c r="C319" s="3"/>
      <c r="D319" s="3"/>
      <c r="E319" s="3"/>
      <c r="F319" s="3"/>
      <c r="G319" s="27"/>
      <c r="H319" s="3"/>
      <c r="I319" s="21"/>
      <c r="J319" s="21"/>
      <c r="K319" s="16"/>
      <c r="L319" s="21"/>
      <c r="M319" s="16"/>
      <c r="N319" s="22"/>
      <c r="O319" s="22"/>
      <c r="P319" s="22"/>
      <c r="Q319" s="8"/>
    </row>
    <row r="320" spans="3:17" s="2" customFormat="1" ht="15.75" x14ac:dyDescent="0.25">
      <c r="C320" s="3"/>
      <c r="D320" s="3"/>
      <c r="E320" s="3"/>
      <c r="F320" s="3"/>
      <c r="G320" s="27"/>
      <c r="H320" s="3"/>
      <c r="I320" s="21"/>
      <c r="J320" s="21"/>
      <c r="K320" s="16"/>
      <c r="L320" s="21"/>
      <c r="M320" s="16"/>
      <c r="N320" s="22"/>
      <c r="O320" s="22"/>
      <c r="P320" s="22"/>
      <c r="Q320" s="8"/>
    </row>
    <row r="321" spans="3:17" s="2" customFormat="1" ht="15.75" x14ac:dyDescent="0.25">
      <c r="C321" s="3"/>
      <c r="D321" s="3"/>
      <c r="E321" s="3"/>
      <c r="F321" s="3"/>
      <c r="G321" s="27"/>
      <c r="H321" s="3"/>
      <c r="I321" s="21"/>
      <c r="J321" s="21"/>
      <c r="K321" s="16"/>
      <c r="L321" s="21"/>
      <c r="M321" s="16"/>
      <c r="N321" s="22"/>
      <c r="O321" s="22"/>
      <c r="P321" s="22"/>
      <c r="Q321" s="8"/>
    </row>
    <row r="322" spans="3:17" s="2" customFormat="1" ht="15.75" x14ac:dyDescent="0.25">
      <c r="C322" s="3"/>
      <c r="D322" s="3"/>
      <c r="E322" s="3"/>
      <c r="F322" s="3"/>
      <c r="G322" s="27"/>
      <c r="H322" s="3"/>
      <c r="I322" s="21"/>
      <c r="J322" s="21"/>
      <c r="K322" s="16"/>
      <c r="L322" s="21"/>
      <c r="M322" s="16"/>
      <c r="N322" s="22"/>
      <c r="O322" s="22"/>
      <c r="P322" s="22"/>
      <c r="Q322" s="8"/>
    </row>
    <row r="323" spans="3:17" s="2" customFormat="1" ht="15.75" x14ac:dyDescent="0.25">
      <c r="C323" s="3"/>
      <c r="D323" s="3"/>
      <c r="E323" s="3"/>
      <c r="F323" s="3"/>
      <c r="G323" s="27"/>
      <c r="H323" s="3"/>
      <c r="I323" s="21"/>
      <c r="J323" s="21"/>
      <c r="K323" s="16"/>
      <c r="L323" s="21"/>
      <c r="M323" s="16"/>
      <c r="N323" s="22"/>
      <c r="O323" s="22"/>
      <c r="P323" s="22"/>
      <c r="Q323" s="8"/>
    </row>
    <row r="324" spans="3:17" s="2" customFormat="1" ht="15.75" x14ac:dyDescent="0.25">
      <c r="C324" s="3"/>
      <c r="D324" s="3"/>
      <c r="E324" s="3"/>
      <c r="F324" s="3"/>
      <c r="G324" s="27"/>
      <c r="H324" s="3"/>
      <c r="I324" s="21"/>
      <c r="J324" s="21"/>
      <c r="K324" s="16"/>
      <c r="L324" s="21"/>
      <c r="M324" s="16"/>
      <c r="N324" s="22"/>
      <c r="O324" s="22"/>
      <c r="P324" s="22"/>
      <c r="Q324" s="8"/>
    </row>
    <row r="325" spans="3:17" s="2" customFormat="1" ht="15.75" x14ac:dyDescent="0.25">
      <c r="C325" s="3"/>
      <c r="D325" s="3"/>
      <c r="E325" s="3"/>
      <c r="F325" s="3"/>
      <c r="G325" s="27"/>
      <c r="H325" s="3"/>
      <c r="I325" s="21"/>
      <c r="J325" s="21"/>
      <c r="K325" s="16"/>
      <c r="L325" s="21"/>
      <c r="M325" s="16"/>
      <c r="N325" s="22"/>
      <c r="O325" s="22"/>
      <c r="P325" s="22"/>
      <c r="Q325" s="8"/>
    </row>
    <row r="326" spans="3:17" s="2" customFormat="1" ht="15.75" x14ac:dyDescent="0.25">
      <c r="C326" s="3"/>
      <c r="D326" s="3"/>
      <c r="E326" s="3"/>
      <c r="F326" s="3"/>
      <c r="G326" s="27"/>
      <c r="H326" s="3"/>
      <c r="I326" s="21"/>
      <c r="J326" s="21"/>
      <c r="K326" s="16"/>
      <c r="L326" s="21"/>
      <c r="M326" s="16"/>
      <c r="N326" s="22"/>
      <c r="O326" s="22"/>
      <c r="P326" s="22"/>
      <c r="Q326" s="8"/>
    </row>
    <row r="327" spans="3:17" s="2" customFormat="1" ht="15.75" x14ac:dyDescent="0.25">
      <c r="C327" s="3"/>
      <c r="D327" s="3"/>
      <c r="E327" s="3"/>
      <c r="F327" s="3"/>
      <c r="G327" s="27"/>
      <c r="H327" s="3"/>
      <c r="I327" s="21"/>
      <c r="J327" s="21"/>
      <c r="K327" s="16"/>
      <c r="L327" s="21"/>
      <c r="M327" s="16"/>
      <c r="N327" s="22"/>
      <c r="O327" s="22"/>
      <c r="P327" s="22"/>
      <c r="Q327" s="8"/>
    </row>
    <row r="328" spans="3:17" s="2" customFormat="1" ht="15.75" x14ac:dyDescent="0.25">
      <c r="C328" s="3"/>
      <c r="D328" s="3"/>
      <c r="E328" s="3"/>
      <c r="F328" s="3"/>
      <c r="G328" s="27"/>
      <c r="H328" s="3"/>
      <c r="I328" s="21"/>
      <c r="J328" s="21"/>
      <c r="K328" s="16"/>
      <c r="L328" s="21"/>
      <c r="M328" s="16"/>
      <c r="N328" s="22"/>
      <c r="O328" s="22"/>
      <c r="P328" s="22"/>
      <c r="Q328" s="8"/>
    </row>
    <row r="329" spans="3:17" s="2" customFormat="1" ht="15.75" x14ac:dyDescent="0.25">
      <c r="C329" s="3"/>
      <c r="D329" s="3"/>
      <c r="E329" s="3"/>
      <c r="F329" s="3"/>
      <c r="G329" s="27"/>
      <c r="H329" s="3"/>
      <c r="I329" s="21"/>
      <c r="J329" s="21"/>
      <c r="K329" s="16"/>
      <c r="L329" s="21"/>
      <c r="M329" s="16"/>
      <c r="N329" s="22"/>
      <c r="O329" s="22"/>
      <c r="P329" s="22"/>
      <c r="Q329" s="8"/>
    </row>
    <row r="330" spans="3:17" s="2" customFormat="1" ht="15.75" x14ac:dyDescent="0.25">
      <c r="C330" s="3"/>
      <c r="D330" s="3"/>
      <c r="E330" s="3"/>
      <c r="F330" s="3"/>
      <c r="G330" s="27"/>
      <c r="H330" s="3"/>
      <c r="I330" s="21"/>
      <c r="J330" s="21"/>
      <c r="K330" s="16"/>
      <c r="L330" s="21"/>
      <c r="M330" s="16"/>
      <c r="N330" s="22"/>
      <c r="O330" s="22"/>
      <c r="P330" s="22"/>
      <c r="Q330" s="8"/>
    </row>
    <row r="331" spans="3:17" s="2" customFormat="1" ht="15.75" x14ac:dyDescent="0.25">
      <c r="C331" s="3"/>
      <c r="D331" s="3"/>
      <c r="E331" s="3"/>
      <c r="F331" s="3"/>
      <c r="G331" s="27"/>
      <c r="H331" s="3"/>
      <c r="I331" s="21"/>
      <c r="J331" s="21"/>
      <c r="K331" s="16"/>
      <c r="L331" s="21"/>
      <c r="M331" s="16"/>
      <c r="N331" s="22"/>
      <c r="O331" s="22"/>
      <c r="P331" s="22"/>
      <c r="Q331" s="8"/>
    </row>
    <row r="332" spans="3:17" s="2" customFormat="1" ht="15.75" x14ac:dyDescent="0.25">
      <c r="C332" s="3"/>
      <c r="D332" s="3"/>
      <c r="E332" s="3"/>
      <c r="F332" s="3"/>
      <c r="G332" s="27"/>
      <c r="H332" s="3"/>
      <c r="I332" s="21"/>
      <c r="J332" s="21"/>
      <c r="K332" s="16"/>
      <c r="L332" s="21"/>
      <c r="M332" s="16"/>
      <c r="N332" s="22"/>
      <c r="O332" s="22"/>
      <c r="P332" s="22"/>
      <c r="Q332" s="8"/>
    </row>
    <row r="333" spans="3:17" s="2" customFormat="1" ht="15.75" x14ac:dyDescent="0.25">
      <c r="C333" s="3"/>
      <c r="D333" s="3"/>
      <c r="E333" s="3"/>
      <c r="F333" s="3"/>
      <c r="G333" s="27"/>
      <c r="H333" s="3"/>
      <c r="I333" s="21"/>
      <c r="J333" s="21"/>
      <c r="K333" s="16"/>
      <c r="L333" s="21"/>
      <c r="M333" s="16"/>
      <c r="N333" s="22"/>
      <c r="O333" s="22"/>
      <c r="P333" s="22"/>
      <c r="Q333" s="8"/>
    </row>
    <row r="334" spans="3:17" s="2" customFormat="1" ht="15.75" x14ac:dyDescent="0.25">
      <c r="C334" s="3"/>
      <c r="D334" s="3"/>
      <c r="E334" s="3"/>
      <c r="F334" s="3"/>
      <c r="G334" s="27"/>
      <c r="H334" s="3"/>
      <c r="I334" s="21"/>
      <c r="J334" s="21"/>
      <c r="K334" s="16"/>
      <c r="L334" s="21"/>
      <c r="M334" s="16"/>
      <c r="N334" s="22"/>
      <c r="O334" s="22"/>
      <c r="P334" s="22"/>
      <c r="Q334" s="8"/>
    </row>
    <row r="335" spans="3:17" s="2" customFormat="1" ht="15.75" x14ac:dyDescent="0.25">
      <c r="C335" s="3"/>
      <c r="D335" s="3"/>
      <c r="E335" s="3"/>
      <c r="F335" s="3"/>
      <c r="G335" s="27"/>
      <c r="H335" s="3"/>
      <c r="I335" s="21"/>
      <c r="J335" s="21"/>
      <c r="K335" s="16"/>
      <c r="L335" s="21"/>
      <c r="M335" s="16"/>
      <c r="N335" s="22"/>
      <c r="O335" s="22"/>
      <c r="P335" s="22"/>
      <c r="Q335" s="8"/>
    </row>
    <row r="336" spans="3:17" s="2" customFormat="1" ht="15.75" x14ac:dyDescent="0.25">
      <c r="C336" s="3"/>
      <c r="D336" s="3"/>
      <c r="E336" s="3"/>
      <c r="F336" s="3"/>
      <c r="G336" s="27"/>
      <c r="H336" s="3"/>
      <c r="I336" s="21"/>
      <c r="J336" s="21"/>
      <c r="K336" s="16"/>
      <c r="L336" s="21"/>
      <c r="M336" s="16"/>
      <c r="N336" s="22"/>
      <c r="O336" s="22"/>
      <c r="P336" s="22"/>
      <c r="Q336" s="8"/>
    </row>
    <row r="337" spans="3:19" s="2" customFormat="1" ht="15.75" x14ac:dyDescent="0.25">
      <c r="C337" s="3"/>
      <c r="D337" s="3"/>
      <c r="E337" s="3"/>
      <c r="F337" s="3"/>
      <c r="G337" s="27"/>
      <c r="H337" s="3"/>
      <c r="I337" s="21"/>
      <c r="J337" s="21"/>
      <c r="K337" s="16"/>
      <c r="L337" s="21"/>
      <c r="M337" s="16"/>
      <c r="N337" s="22"/>
      <c r="O337" s="22"/>
      <c r="P337" s="22"/>
      <c r="Q337" s="8"/>
    </row>
    <row r="338" spans="3:19" s="2" customFormat="1" ht="15.75" x14ac:dyDescent="0.25">
      <c r="C338" s="3"/>
      <c r="D338" s="3"/>
      <c r="E338" s="3"/>
      <c r="F338" s="3"/>
      <c r="G338" s="27"/>
      <c r="H338" s="3"/>
      <c r="I338" s="21"/>
      <c r="J338" s="21"/>
      <c r="K338" s="16"/>
      <c r="L338" s="21"/>
      <c r="M338" s="16"/>
      <c r="N338" s="22"/>
      <c r="O338" s="22"/>
      <c r="P338" s="22"/>
      <c r="Q338" s="8"/>
    </row>
    <row r="339" spans="3:19" s="2" customFormat="1" ht="15.75" x14ac:dyDescent="0.25">
      <c r="C339" s="3"/>
      <c r="D339" s="3"/>
      <c r="E339" s="3"/>
      <c r="F339" s="3"/>
      <c r="G339" s="27"/>
      <c r="H339" s="3"/>
      <c r="I339" s="21"/>
      <c r="J339" s="21"/>
      <c r="K339" s="16"/>
      <c r="L339" s="21"/>
      <c r="M339" s="16"/>
      <c r="N339" s="22"/>
      <c r="O339" s="22"/>
      <c r="P339" s="22"/>
      <c r="Q339" s="8"/>
      <c r="S339" s="2" t="e">
        <f>(#REF!/2)-#REF!</f>
        <v>#REF!</v>
      </c>
    </row>
    <row r="340" spans="3:19" s="2" customFormat="1" ht="15.75" x14ac:dyDescent="0.25">
      <c r="C340" s="3"/>
      <c r="D340" s="3"/>
      <c r="E340" s="3"/>
      <c r="F340" s="3"/>
      <c r="G340" s="27"/>
      <c r="H340" s="3"/>
      <c r="I340" s="21"/>
      <c r="J340" s="21"/>
      <c r="K340" s="16"/>
      <c r="L340" s="21"/>
      <c r="M340" s="16"/>
      <c r="N340" s="22"/>
      <c r="O340" s="22"/>
      <c r="P340" s="22"/>
      <c r="Q340" s="8"/>
    </row>
    <row r="341" spans="3:19" s="2" customFormat="1" ht="15.75" x14ac:dyDescent="0.25">
      <c r="C341" s="3"/>
      <c r="D341" s="3"/>
      <c r="E341" s="3"/>
      <c r="F341" s="3"/>
      <c r="G341" s="27"/>
      <c r="H341" s="3"/>
      <c r="I341" s="21"/>
      <c r="J341" s="21"/>
      <c r="K341" s="16"/>
      <c r="L341" s="21"/>
      <c r="M341" s="16"/>
      <c r="N341" s="22"/>
      <c r="O341" s="22"/>
      <c r="P341" s="22"/>
      <c r="Q341" s="8"/>
    </row>
    <row r="342" spans="3:19" s="2" customFormat="1" ht="15.75" x14ac:dyDescent="0.25">
      <c r="C342" s="3"/>
      <c r="D342" s="3"/>
      <c r="E342" s="3"/>
      <c r="F342" s="3"/>
      <c r="G342" s="27"/>
      <c r="H342" s="3"/>
      <c r="I342" s="21"/>
      <c r="J342" s="21"/>
      <c r="K342" s="16"/>
      <c r="L342" s="21"/>
      <c r="M342" s="16"/>
      <c r="N342" s="22"/>
      <c r="O342" s="22"/>
      <c r="P342" s="22"/>
      <c r="Q342" s="8"/>
    </row>
    <row r="343" spans="3:19" s="2" customFormat="1" ht="15.75" x14ac:dyDescent="0.25">
      <c r="C343" s="3"/>
      <c r="D343" s="3"/>
      <c r="E343" s="3"/>
      <c r="F343" s="3"/>
      <c r="G343" s="27"/>
      <c r="H343" s="3"/>
      <c r="I343" s="21"/>
      <c r="J343" s="21"/>
      <c r="K343" s="16"/>
      <c r="L343" s="21"/>
      <c r="M343" s="16"/>
      <c r="N343" s="22"/>
      <c r="O343" s="22"/>
      <c r="P343" s="22"/>
      <c r="Q343" s="8"/>
    </row>
    <row r="344" spans="3:19" s="2" customFormat="1" ht="15.75" x14ac:dyDescent="0.25">
      <c r="C344" s="3"/>
      <c r="D344" s="3"/>
      <c r="E344" s="3"/>
      <c r="F344" s="3"/>
      <c r="G344" s="27"/>
      <c r="H344" s="3"/>
      <c r="I344" s="21"/>
      <c r="J344" s="21"/>
      <c r="K344" s="16"/>
      <c r="L344" s="21"/>
      <c r="M344" s="16"/>
      <c r="N344" s="22"/>
      <c r="O344" s="22"/>
      <c r="P344" s="22"/>
      <c r="Q344" s="8"/>
    </row>
    <row r="345" spans="3:19" s="2" customFormat="1" ht="15.75" x14ac:dyDescent="0.25">
      <c r="C345" s="3"/>
      <c r="D345" s="3"/>
      <c r="E345" s="3"/>
      <c r="F345" s="3"/>
      <c r="G345" s="27"/>
      <c r="H345" s="3"/>
      <c r="I345" s="21"/>
      <c r="J345" s="21"/>
      <c r="K345" s="16"/>
      <c r="L345" s="21"/>
      <c r="M345" s="16"/>
      <c r="N345" s="22"/>
      <c r="O345" s="22"/>
      <c r="P345" s="22"/>
      <c r="Q345" s="8"/>
    </row>
    <row r="346" spans="3:19" s="2" customFormat="1" ht="15.75" x14ac:dyDescent="0.25">
      <c r="C346" s="3"/>
      <c r="D346" s="3"/>
      <c r="E346" s="3"/>
      <c r="F346" s="3"/>
      <c r="G346" s="27"/>
      <c r="H346" s="3"/>
      <c r="I346" s="21"/>
      <c r="J346" s="21"/>
      <c r="K346" s="16"/>
      <c r="L346" s="21"/>
      <c r="M346" s="16"/>
      <c r="N346" s="22"/>
      <c r="O346" s="22"/>
      <c r="P346" s="22"/>
      <c r="Q346" s="8"/>
    </row>
    <row r="347" spans="3:19" s="2" customFormat="1" ht="15.75" x14ac:dyDescent="0.25">
      <c r="C347" s="3"/>
      <c r="D347" s="3"/>
      <c r="E347" s="3"/>
      <c r="F347" s="3"/>
      <c r="G347" s="27"/>
      <c r="H347" s="3"/>
      <c r="I347" s="21"/>
      <c r="J347" s="21"/>
      <c r="K347" s="16"/>
      <c r="L347" s="21"/>
      <c r="M347" s="16"/>
      <c r="N347" s="22"/>
      <c r="O347" s="22"/>
      <c r="P347" s="22"/>
      <c r="Q347" s="8"/>
    </row>
    <row r="348" spans="3:19" s="2" customFormat="1" ht="15.75" x14ac:dyDescent="0.25">
      <c r="C348" s="3"/>
      <c r="D348" s="3"/>
      <c r="E348" s="3"/>
      <c r="F348" s="3"/>
      <c r="G348" s="27"/>
      <c r="H348" s="3"/>
      <c r="I348" s="21"/>
      <c r="J348" s="21"/>
      <c r="K348" s="16"/>
      <c r="L348" s="21"/>
      <c r="M348" s="16"/>
      <c r="N348" s="22"/>
      <c r="O348" s="22"/>
      <c r="P348" s="22"/>
      <c r="Q348" s="8"/>
    </row>
    <row r="349" spans="3:19" s="2" customFormat="1" ht="15.75" x14ac:dyDescent="0.25">
      <c r="C349" s="3"/>
      <c r="D349" s="3"/>
      <c r="E349" s="3"/>
      <c r="F349" s="3"/>
      <c r="G349" s="27"/>
      <c r="H349" s="3"/>
      <c r="I349" s="21"/>
      <c r="J349" s="21"/>
      <c r="K349" s="16"/>
      <c r="L349" s="21"/>
      <c r="M349" s="16"/>
      <c r="N349" s="22"/>
      <c r="O349" s="22"/>
      <c r="P349" s="22"/>
      <c r="Q349" s="8"/>
    </row>
    <row r="350" spans="3:19" s="2" customFormat="1" ht="15.75" x14ac:dyDescent="0.25">
      <c r="C350" s="3"/>
      <c r="D350" s="3"/>
      <c r="E350" s="3"/>
      <c r="F350" s="3"/>
      <c r="G350" s="27"/>
      <c r="H350" s="3"/>
      <c r="I350" s="21"/>
      <c r="J350" s="21"/>
      <c r="K350" s="16"/>
      <c r="L350" s="21"/>
      <c r="M350" s="16"/>
      <c r="N350" s="22"/>
      <c r="O350" s="22"/>
      <c r="P350" s="22"/>
      <c r="Q350" s="8"/>
    </row>
    <row r="351" spans="3:19" s="2" customFormat="1" ht="15.75" x14ac:dyDescent="0.25">
      <c r="C351" s="3"/>
      <c r="D351" s="3"/>
      <c r="E351" s="3"/>
      <c r="F351" s="3"/>
      <c r="G351" s="27"/>
      <c r="H351" s="3"/>
      <c r="I351" s="21"/>
      <c r="J351" s="21"/>
      <c r="K351" s="16"/>
      <c r="L351" s="21"/>
      <c r="M351" s="16"/>
      <c r="N351" s="22"/>
      <c r="O351" s="22"/>
      <c r="P351" s="22"/>
      <c r="Q351" s="8"/>
    </row>
    <row r="352" spans="3:19" s="2" customFormat="1" ht="15.75" x14ac:dyDescent="0.25">
      <c r="C352" s="3"/>
      <c r="D352" s="3"/>
      <c r="E352" s="3"/>
      <c r="F352" s="3"/>
      <c r="G352" s="27"/>
      <c r="H352" s="3"/>
      <c r="I352" s="21"/>
      <c r="J352" s="21"/>
      <c r="K352" s="16"/>
      <c r="L352" s="21"/>
      <c r="M352" s="16"/>
      <c r="N352" s="22"/>
      <c r="O352" s="22"/>
      <c r="P352" s="22"/>
      <c r="Q352" s="8"/>
    </row>
    <row r="353" spans="3:17" s="2" customFormat="1" ht="15.75" x14ac:dyDescent="0.25">
      <c r="C353" s="3"/>
      <c r="D353" s="3"/>
      <c r="E353" s="3"/>
      <c r="F353" s="3"/>
      <c r="G353" s="27"/>
      <c r="H353" s="3"/>
      <c r="I353" s="21"/>
      <c r="J353" s="21"/>
      <c r="K353" s="16"/>
      <c r="L353" s="21"/>
      <c r="M353" s="16"/>
      <c r="N353" s="22"/>
      <c r="O353" s="22"/>
      <c r="P353" s="22"/>
      <c r="Q353" s="8"/>
    </row>
    <row r="354" spans="3:17" s="2" customFormat="1" ht="15.75" x14ac:dyDescent="0.25">
      <c r="C354" s="3"/>
      <c r="D354" s="3"/>
      <c r="E354" s="3"/>
      <c r="F354" s="3"/>
      <c r="G354" s="27"/>
      <c r="H354" s="3"/>
      <c r="I354" s="21"/>
      <c r="J354" s="21"/>
      <c r="K354" s="16"/>
      <c r="L354" s="21"/>
      <c r="M354" s="16"/>
      <c r="N354" s="22"/>
      <c r="O354" s="22"/>
      <c r="P354" s="22"/>
      <c r="Q354" s="8"/>
    </row>
    <row r="355" spans="3:17" s="2" customFormat="1" ht="15.75" x14ac:dyDescent="0.25">
      <c r="C355" s="3"/>
      <c r="D355" s="3"/>
      <c r="E355" s="3"/>
      <c r="F355" s="3"/>
      <c r="G355" s="27"/>
      <c r="H355" s="3"/>
      <c r="I355" s="21"/>
      <c r="J355" s="21"/>
      <c r="K355" s="16"/>
      <c r="L355" s="21"/>
      <c r="M355" s="16"/>
      <c r="N355" s="22"/>
      <c r="O355" s="22"/>
      <c r="P355" s="22"/>
      <c r="Q355" s="8"/>
    </row>
    <row r="356" spans="3:17" s="2" customFormat="1" ht="15.75" x14ac:dyDescent="0.25">
      <c r="C356" s="3"/>
      <c r="D356" s="3"/>
      <c r="E356" s="3"/>
      <c r="F356" s="3"/>
      <c r="G356" s="27"/>
      <c r="H356" s="3"/>
      <c r="I356" s="21"/>
      <c r="J356" s="21"/>
      <c r="K356" s="16"/>
      <c r="L356" s="21"/>
      <c r="M356" s="16"/>
      <c r="N356" s="22"/>
      <c r="O356" s="22"/>
      <c r="P356" s="22"/>
      <c r="Q356" s="8"/>
    </row>
    <row r="357" spans="3:17" s="2" customFormat="1" ht="15.75" x14ac:dyDescent="0.25">
      <c r="C357" s="3"/>
      <c r="D357" s="3"/>
      <c r="E357" s="3"/>
      <c r="F357" s="3"/>
      <c r="G357" s="27"/>
      <c r="H357" s="3"/>
      <c r="I357" s="21"/>
      <c r="J357" s="21"/>
      <c r="K357" s="16"/>
      <c r="L357" s="21"/>
      <c r="M357" s="16"/>
      <c r="N357" s="22"/>
      <c r="O357" s="22"/>
      <c r="P357" s="22"/>
      <c r="Q357" s="8"/>
    </row>
    <row r="358" spans="3:17" s="2" customFormat="1" ht="15.75" x14ac:dyDescent="0.25">
      <c r="C358" s="3"/>
      <c r="D358" s="3"/>
      <c r="E358" s="3"/>
      <c r="F358" s="3"/>
      <c r="G358" s="27"/>
      <c r="H358" s="3"/>
      <c r="I358" s="21"/>
      <c r="J358" s="21"/>
      <c r="K358" s="16"/>
      <c r="L358" s="21"/>
      <c r="M358" s="16"/>
      <c r="N358" s="22"/>
      <c r="O358" s="22"/>
      <c r="P358" s="22"/>
      <c r="Q358" s="8"/>
    </row>
    <row r="359" spans="3:17" s="2" customFormat="1" ht="15.75" x14ac:dyDescent="0.25">
      <c r="C359" s="3"/>
      <c r="D359" s="3"/>
      <c r="E359" s="3"/>
      <c r="F359" s="3"/>
      <c r="G359" s="27"/>
      <c r="H359" s="3"/>
      <c r="I359" s="21"/>
      <c r="J359" s="21"/>
      <c r="K359" s="16"/>
      <c r="L359" s="21"/>
      <c r="M359" s="16"/>
      <c r="N359" s="22"/>
      <c r="O359" s="22"/>
      <c r="P359" s="22"/>
      <c r="Q359" s="8"/>
    </row>
    <row r="360" spans="3:17" s="2" customFormat="1" ht="15.75" x14ac:dyDescent="0.25">
      <c r="C360" s="3"/>
      <c r="D360" s="3"/>
      <c r="E360" s="3"/>
      <c r="F360" s="3"/>
      <c r="G360" s="27"/>
      <c r="H360" s="3"/>
      <c r="I360" s="21"/>
      <c r="J360" s="21"/>
      <c r="K360" s="16"/>
      <c r="L360" s="21"/>
      <c r="M360" s="16"/>
      <c r="N360" s="22"/>
      <c r="O360" s="22"/>
      <c r="P360" s="22"/>
      <c r="Q360" s="8"/>
    </row>
    <row r="361" spans="3:17" s="2" customFormat="1" ht="15.75" x14ac:dyDescent="0.25">
      <c r="C361" s="3"/>
      <c r="D361" s="3"/>
      <c r="E361" s="3"/>
      <c r="F361" s="3"/>
      <c r="G361" s="27"/>
      <c r="H361" s="3"/>
      <c r="I361" s="21"/>
      <c r="J361" s="21"/>
      <c r="K361" s="16"/>
      <c r="L361" s="21"/>
      <c r="M361" s="16"/>
      <c r="N361" s="22"/>
      <c r="O361" s="22"/>
      <c r="P361" s="22"/>
      <c r="Q361" s="8"/>
    </row>
    <row r="362" spans="3:17" s="2" customFormat="1" ht="15.75" x14ac:dyDescent="0.25">
      <c r="C362" s="3"/>
      <c r="D362" s="3"/>
      <c r="E362" s="3"/>
      <c r="F362" s="3"/>
      <c r="G362" s="27"/>
      <c r="H362" s="3"/>
      <c r="I362" s="21"/>
      <c r="J362" s="21"/>
      <c r="K362" s="16"/>
      <c r="L362" s="21"/>
      <c r="M362" s="16"/>
      <c r="N362" s="22"/>
      <c r="O362" s="22"/>
      <c r="P362" s="22"/>
      <c r="Q362" s="8"/>
    </row>
    <row r="363" spans="3:17" s="2" customFormat="1" ht="15.75" x14ac:dyDescent="0.25">
      <c r="C363" s="3"/>
      <c r="D363" s="3"/>
      <c r="E363" s="3"/>
      <c r="F363" s="3"/>
      <c r="G363" s="27"/>
      <c r="H363" s="3"/>
      <c r="I363" s="21"/>
      <c r="J363" s="21"/>
      <c r="K363" s="16"/>
      <c r="L363" s="21"/>
      <c r="M363" s="16"/>
      <c r="N363" s="22"/>
      <c r="O363" s="22"/>
      <c r="P363" s="22"/>
      <c r="Q363" s="8"/>
    </row>
    <row r="364" spans="3:17" s="2" customFormat="1" ht="15.75" x14ac:dyDescent="0.25">
      <c r="C364" s="3"/>
      <c r="D364" s="3"/>
      <c r="E364" s="3"/>
      <c r="F364" s="3"/>
      <c r="G364" s="27"/>
      <c r="H364" s="3"/>
      <c r="I364" s="21"/>
      <c r="J364" s="21"/>
      <c r="K364" s="16"/>
      <c r="L364" s="21"/>
      <c r="M364" s="16"/>
      <c r="N364" s="22"/>
      <c r="O364" s="22"/>
      <c r="P364" s="22"/>
      <c r="Q364" s="8"/>
    </row>
    <row r="365" spans="3:17" s="2" customFormat="1" ht="15.75" x14ac:dyDescent="0.25">
      <c r="C365" s="3"/>
      <c r="D365" s="3"/>
      <c r="E365" s="3"/>
      <c r="F365" s="3"/>
      <c r="G365" s="27"/>
      <c r="H365" s="3"/>
      <c r="I365" s="21"/>
      <c r="J365" s="21"/>
      <c r="K365" s="16"/>
      <c r="L365" s="21"/>
      <c r="M365" s="16"/>
      <c r="N365" s="22"/>
      <c r="O365" s="22"/>
      <c r="P365" s="22"/>
      <c r="Q365" s="8"/>
    </row>
    <row r="366" spans="3:17" s="2" customFormat="1" ht="15.75" x14ac:dyDescent="0.25">
      <c r="C366" s="3"/>
      <c r="D366" s="3"/>
      <c r="E366" s="3"/>
      <c r="F366" s="3"/>
      <c r="G366" s="27"/>
      <c r="H366" s="3"/>
      <c r="I366" s="21"/>
      <c r="J366" s="21"/>
      <c r="K366" s="16"/>
      <c r="L366" s="21"/>
      <c r="M366" s="16"/>
      <c r="N366" s="22"/>
      <c r="O366" s="22"/>
      <c r="P366" s="22"/>
      <c r="Q366" s="8"/>
    </row>
    <row r="367" spans="3:17" s="2" customFormat="1" ht="15.75" x14ac:dyDescent="0.25">
      <c r="C367" s="3"/>
      <c r="D367" s="3"/>
      <c r="E367" s="3"/>
      <c r="F367" s="3"/>
      <c r="G367" s="27"/>
      <c r="H367" s="3"/>
      <c r="I367" s="21"/>
      <c r="J367" s="21"/>
      <c r="K367" s="16"/>
      <c r="L367" s="21"/>
      <c r="M367" s="16"/>
      <c r="N367" s="22"/>
      <c r="O367" s="22"/>
      <c r="P367" s="22"/>
      <c r="Q367" s="8"/>
    </row>
    <row r="368" spans="3:17" s="2" customFormat="1" ht="15.75" x14ac:dyDescent="0.25">
      <c r="C368" s="3"/>
      <c r="D368" s="3"/>
      <c r="E368" s="3"/>
      <c r="F368" s="3"/>
      <c r="G368" s="27"/>
      <c r="H368" s="3"/>
      <c r="I368" s="21"/>
      <c r="J368" s="21"/>
      <c r="K368" s="16"/>
      <c r="L368" s="21"/>
      <c r="M368" s="16"/>
      <c r="N368" s="22"/>
      <c r="O368" s="22"/>
      <c r="P368" s="22"/>
      <c r="Q368" s="8"/>
    </row>
    <row r="369" spans="3:17" s="2" customFormat="1" ht="15.75" x14ac:dyDescent="0.25">
      <c r="C369" s="3"/>
      <c r="D369" s="3"/>
      <c r="E369" s="3"/>
      <c r="F369" s="3"/>
      <c r="G369" s="27"/>
      <c r="H369" s="3"/>
      <c r="I369" s="21"/>
      <c r="J369" s="21"/>
      <c r="K369" s="16"/>
      <c r="L369" s="21"/>
      <c r="M369" s="16"/>
      <c r="N369" s="22"/>
      <c r="O369" s="22"/>
      <c r="P369" s="22"/>
      <c r="Q369" s="8"/>
    </row>
    <row r="370" spans="3:17" s="2" customFormat="1" ht="15.75" x14ac:dyDescent="0.25">
      <c r="C370" s="1"/>
      <c r="D370" s="1"/>
      <c r="E370" s="1"/>
      <c r="F370" s="1"/>
      <c r="G370" s="15"/>
      <c r="H370" s="1"/>
      <c r="I370" s="23"/>
      <c r="J370" s="23"/>
      <c r="K370" s="14"/>
      <c r="L370" s="23"/>
      <c r="M370" s="14"/>
      <c r="N370" s="20"/>
      <c r="O370" s="20"/>
      <c r="P370" s="20"/>
      <c r="Q370" s="7"/>
    </row>
    <row r="371" spans="3:17" s="2" customFormat="1" ht="15.75" x14ac:dyDescent="0.25">
      <c r="C371" s="1"/>
      <c r="D371" s="1"/>
      <c r="E371" s="1"/>
      <c r="F371" s="1"/>
      <c r="G371" s="15"/>
      <c r="H371" s="1"/>
      <c r="I371" s="23"/>
      <c r="J371" s="23"/>
      <c r="K371" s="14"/>
      <c r="L371" s="23"/>
      <c r="M371" s="14"/>
      <c r="N371" s="20"/>
      <c r="O371" s="20"/>
      <c r="P371" s="20"/>
      <c r="Q371" s="7"/>
    </row>
    <row r="372" spans="3:17" s="2" customFormat="1" ht="15.75" x14ac:dyDescent="0.25">
      <c r="C372" s="1"/>
      <c r="D372" s="1"/>
      <c r="E372" s="1"/>
      <c r="F372" s="1"/>
      <c r="G372" s="15"/>
      <c r="H372" s="1"/>
      <c r="I372" s="23"/>
      <c r="J372" s="23"/>
      <c r="K372" s="14"/>
      <c r="L372" s="23"/>
      <c r="M372" s="14"/>
      <c r="N372" s="20"/>
      <c r="O372" s="20"/>
      <c r="P372" s="20"/>
      <c r="Q372" s="7"/>
    </row>
    <row r="373" spans="3:17" s="2" customFormat="1" ht="15.75" x14ac:dyDescent="0.25">
      <c r="C373" s="1"/>
      <c r="D373" s="1"/>
      <c r="E373" s="1"/>
      <c r="F373" s="1"/>
      <c r="G373" s="15"/>
      <c r="H373" s="1"/>
      <c r="I373" s="23"/>
      <c r="J373" s="23"/>
      <c r="K373" s="14"/>
      <c r="L373" s="23"/>
      <c r="M373" s="14"/>
      <c r="N373" s="20"/>
      <c r="O373" s="20"/>
      <c r="P373" s="20"/>
      <c r="Q373" s="7"/>
    </row>
    <row r="374" spans="3:17" s="2" customFormat="1" ht="15.75" x14ac:dyDescent="0.25">
      <c r="C374" s="1"/>
      <c r="D374" s="1"/>
      <c r="E374" s="1"/>
      <c r="F374" s="1"/>
      <c r="G374" s="15"/>
      <c r="H374" s="1"/>
      <c r="I374" s="23"/>
      <c r="J374" s="23"/>
      <c r="K374" s="14"/>
      <c r="L374" s="23"/>
      <c r="M374" s="14"/>
      <c r="N374" s="20"/>
      <c r="O374" s="20"/>
      <c r="P374" s="20"/>
      <c r="Q374" s="7"/>
    </row>
    <row r="375" spans="3:17" s="2" customFormat="1" ht="15.75" x14ac:dyDescent="0.25">
      <c r="C375" s="1"/>
      <c r="D375" s="1"/>
      <c r="E375" s="1"/>
      <c r="F375" s="1"/>
      <c r="G375" s="15"/>
      <c r="H375" s="1"/>
      <c r="I375" s="23"/>
      <c r="J375" s="23"/>
      <c r="K375" s="14"/>
      <c r="L375" s="23"/>
      <c r="M375" s="14"/>
      <c r="N375" s="20"/>
      <c r="O375" s="20"/>
      <c r="P375" s="20"/>
      <c r="Q375" s="7"/>
    </row>
    <row r="376" spans="3:17" s="2" customFormat="1" ht="15.75" x14ac:dyDescent="0.25">
      <c r="C376" s="1"/>
      <c r="D376" s="1"/>
      <c r="E376" s="1"/>
      <c r="F376" s="1"/>
      <c r="G376" s="15"/>
      <c r="H376" s="1"/>
      <c r="I376" s="23"/>
      <c r="J376" s="23"/>
      <c r="K376" s="14"/>
      <c r="L376" s="23"/>
      <c r="M376" s="14"/>
      <c r="N376" s="20"/>
      <c r="O376" s="20"/>
      <c r="P376" s="20"/>
      <c r="Q376" s="7"/>
    </row>
    <row r="377" spans="3:17" s="2" customFormat="1" ht="15.75" x14ac:dyDescent="0.25">
      <c r="C377" s="1"/>
      <c r="D377" s="1"/>
      <c r="E377" s="1"/>
      <c r="F377" s="1"/>
      <c r="G377" s="15"/>
      <c r="H377" s="1"/>
      <c r="I377" s="23"/>
      <c r="J377" s="23"/>
      <c r="K377" s="14"/>
      <c r="L377" s="23"/>
      <c r="M377" s="14"/>
      <c r="N377" s="20"/>
      <c r="O377" s="20"/>
      <c r="P377" s="20"/>
      <c r="Q377" s="7"/>
    </row>
    <row r="378" spans="3:17" s="2" customFormat="1" ht="15.75" x14ac:dyDescent="0.25">
      <c r="C378" s="1"/>
      <c r="D378" s="1"/>
      <c r="E378" s="1"/>
      <c r="F378" s="1"/>
      <c r="G378" s="15"/>
      <c r="H378" s="1"/>
      <c r="I378" s="23"/>
      <c r="J378" s="23"/>
      <c r="K378" s="14"/>
      <c r="L378" s="23"/>
      <c r="M378" s="14"/>
      <c r="N378" s="20"/>
      <c r="O378" s="20"/>
      <c r="P378" s="20"/>
      <c r="Q378" s="7"/>
    </row>
    <row r="379" spans="3:17" s="2" customFormat="1" ht="15.75" x14ac:dyDescent="0.25">
      <c r="C379" s="1"/>
      <c r="D379" s="1"/>
      <c r="E379" s="1"/>
      <c r="F379" s="1"/>
      <c r="G379" s="15"/>
      <c r="H379" s="1"/>
      <c r="I379" s="23"/>
      <c r="J379" s="23"/>
      <c r="K379" s="14"/>
      <c r="L379" s="23"/>
      <c r="M379" s="14"/>
      <c r="N379" s="20"/>
      <c r="O379" s="20"/>
      <c r="P379" s="20"/>
      <c r="Q379" s="7"/>
    </row>
    <row r="380" spans="3:17" s="2" customFormat="1" ht="15.75" x14ac:dyDescent="0.25">
      <c r="C380" s="1"/>
      <c r="D380" s="1"/>
      <c r="E380" s="1"/>
      <c r="F380" s="1"/>
      <c r="G380" s="15"/>
      <c r="H380" s="1"/>
      <c r="I380" s="23"/>
      <c r="J380" s="23"/>
      <c r="K380" s="14"/>
      <c r="L380" s="23"/>
      <c r="M380" s="14"/>
      <c r="N380" s="20"/>
      <c r="O380" s="20"/>
      <c r="P380" s="20"/>
      <c r="Q380" s="7"/>
    </row>
    <row r="381" spans="3:17" s="2" customFormat="1" ht="15.75" x14ac:dyDescent="0.25">
      <c r="C381" s="1"/>
      <c r="D381" s="1"/>
      <c r="E381" s="1"/>
      <c r="F381" s="1"/>
      <c r="G381" s="15"/>
      <c r="H381" s="1"/>
      <c r="I381" s="23"/>
      <c r="J381" s="23"/>
      <c r="K381" s="14"/>
      <c r="L381" s="23"/>
      <c r="M381" s="14"/>
      <c r="N381" s="20"/>
      <c r="O381" s="20"/>
      <c r="P381" s="20"/>
      <c r="Q381" s="7"/>
    </row>
    <row r="382" spans="3:17" s="2" customFormat="1" ht="15.75" x14ac:dyDescent="0.25">
      <c r="C382" s="1"/>
      <c r="D382" s="1"/>
      <c r="E382" s="1"/>
      <c r="F382" s="1"/>
      <c r="G382" s="15"/>
      <c r="H382" s="1"/>
      <c r="I382" s="23"/>
      <c r="J382" s="23"/>
      <c r="K382" s="14"/>
      <c r="L382" s="23"/>
      <c r="M382" s="14"/>
      <c r="N382" s="20"/>
      <c r="O382" s="20"/>
      <c r="P382" s="20"/>
      <c r="Q382" s="7"/>
    </row>
    <row r="383" spans="3:17" s="2" customFormat="1" ht="15.75" x14ac:dyDescent="0.25">
      <c r="C383" s="1"/>
      <c r="D383" s="1"/>
      <c r="E383" s="1"/>
      <c r="F383" s="1"/>
      <c r="G383" s="15"/>
      <c r="H383" s="1"/>
      <c r="I383" s="23"/>
      <c r="J383" s="23"/>
      <c r="K383" s="14"/>
      <c r="L383" s="23"/>
      <c r="M383" s="14"/>
      <c r="N383" s="20"/>
      <c r="O383" s="20"/>
      <c r="P383" s="20"/>
      <c r="Q383" s="7"/>
    </row>
    <row r="384" spans="3:17" s="2" customFormat="1" ht="15.75" x14ac:dyDescent="0.25">
      <c r="C384" s="1"/>
      <c r="D384" s="1"/>
      <c r="E384" s="1"/>
      <c r="F384" s="1"/>
      <c r="G384" s="15"/>
      <c r="H384" s="1"/>
      <c r="I384" s="23"/>
      <c r="J384" s="23"/>
      <c r="K384" s="14"/>
      <c r="L384" s="23"/>
      <c r="M384" s="14"/>
      <c r="N384" s="20"/>
      <c r="O384" s="20"/>
      <c r="P384" s="20"/>
      <c r="Q384" s="7"/>
    </row>
    <row r="385" spans="3:17" s="2" customFormat="1" ht="15.75" x14ac:dyDescent="0.25">
      <c r="C385" s="1"/>
      <c r="D385" s="1"/>
      <c r="E385" s="1"/>
      <c r="F385" s="1"/>
      <c r="G385" s="15"/>
      <c r="H385" s="1"/>
      <c r="I385" s="23"/>
      <c r="J385" s="23"/>
      <c r="K385" s="14"/>
      <c r="L385" s="23"/>
      <c r="M385" s="14"/>
      <c r="N385" s="20"/>
      <c r="O385" s="20"/>
      <c r="P385" s="20"/>
      <c r="Q385" s="7"/>
    </row>
    <row r="386" spans="3:17" s="2" customFormat="1" ht="15.75" x14ac:dyDescent="0.25">
      <c r="C386" s="1"/>
      <c r="D386" s="1"/>
      <c r="E386" s="1"/>
      <c r="F386" s="1"/>
      <c r="G386" s="15"/>
      <c r="H386" s="1"/>
      <c r="I386" s="23"/>
      <c r="J386" s="23"/>
      <c r="K386" s="14"/>
      <c r="L386" s="23"/>
      <c r="M386" s="14"/>
      <c r="N386" s="20"/>
      <c r="O386" s="20"/>
      <c r="P386" s="20"/>
      <c r="Q386" s="7"/>
    </row>
    <row r="387" spans="3:17" s="2" customFormat="1" ht="15.75" x14ac:dyDescent="0.25">
      <c r="C387" s="1"/>
      <c r="D387" s="1"/>
      <c r="E387" s="1"/>
      <c r="F387" s="1"/>
      <c r="G387" s="15"/>
      <c r="H387" s="1"/>
      <c r="I387" s="23"/>
      <c r="J387" s="23"/>
      <c r="K387" s="14"/>
      <c r="L387" s="23"/>
      <c r="M387" s="14"/>
      <c r="N387" s="20"/>
      <c r="O387" s="20"/>
      <c r="P387" s="20"/>
      <c r="Q387" s="7"/>
    </row>
    <row r="388" spans="3:17" s="2" customFormat="1" ht="15.75" x14ac:dyDescent="0.25">
      <c r="C388" s="1"/>
      <c r="D388" s="1"/>
      <c r="E388" s="1"/>
      <c r="F388" s="1"/>
      <c r="G388" s="15"/>
      <c r="H388" s="1"/>
      <c r="I388" s="23"/>
      <c r="J388" s="23"/>
      <c r="K388" s="14"/>
      <c r="L388" s="23"/>
      <c r="M388" s="14"/>
      <c r="N388" s="20"/>
      <c r="O388" s="20"/>
      <c r="P388" s="20"/>
      <c r="Q388" s="7"/>
    </row>
    <row r="389" spans="3:17" s="2" customFormat="1" ht="15.75" x14ac:dyDescent="0.25">
      <c r="C389" s="1"/>
      <c r="D389" s="1"/>
      <c r="E389" s="1"/>
      <c r="F389" s="1"/>
      <c r="G389" s="15"/>
      <c r="H389" s="1"/>
      <c r="I389" s="23"/>
      <c r="J389" s="23"/>
      <c r="K389" s="14"/>
      <c r="L389" s="23"/>
      <c r="M389" s="14"/>
      <c r="N389" s="20"/>
      <c r="O389" s="20"/>
      <c r="P389" s="20"/>
      <c r="Q389" s="7"/>
    </row>
    <row r="390" spans="3:17" s="2" customFormat="1" ht="15.75" x14ac:dyDescent="0.25">
      <c r="C390" s="1"/>
      <c r="D390" s="1"/>
      <c r="E390" s="1"/>
      <c r="F390" s="1"/>
      <c r="G390" s="15"/>
      <c r="H390" s="1"/>
      <c r="I390" s="23"/>
      <c r="J390" s="23"/>
      <c r="K390" s="14"/>
      <c r="L390" s="23"/>
      <c r="M390" s="14"/>
      <c r="N390" s="20"/>
      <c r="O390" s="20"/>
      <c r="P390" s="20"/>
      <c r="Q390" s="7"/>
    </row>
    <row r="391" spans="3:17" s="2" customFormat="1" ht="15.75" x14ac:dyDescent="0.25">
      <c r="C391" s="1"/>
      <c r="D391" s="1"/>
      <c r="E391" s="1"/>
      <c r="F391" s="1"/>
      <c r="G391" s="15"/>
      <c r="H391" s="1"/>
      <c r="I391" s="23"/>
      <c r="J391" s="23"/>
      <c r="K391" s="14"/>
      <c r="L391" s="23"/>
      <c r="M391" s="14"/>
      <c r="N391" s="20"/>
      <c r="O391" s="20"/>
      <c r="P391" s="20"/>
      <c r="Q391" s="7"/>
    </row>
    <row r="392" spans="3:17" s="2" customFormat="1" ht="15.75" x14ac:dyDescent="0.25">
      <c r="C392" s="1"/>
      <c r="D392" s="1"/>
      <c r="E392" s="1"/>
      <c r="F392" s="1"/>
      <c r="G392" s="15"/>
      <c r="H392" s="1"/>
      <c r="I392" s="23"/>
      <c r="J392" s="23"/>
      <c r="K392" s="14"/>
      <c r="L392" s="23"/>
      <c r="M392" s="14"/>
      <c r="N392" s="20"/>
      <c r="O392" s="20"/>
      <c r="P392" s="20"/>
      <c r="Q392" s="7"/>
    </row>
    <row r="393" spans="3:17" s="2" customFormat="1" ht="15.75" x14ac:dyDescent="0.25">
      <c r="C393" s="1"/>
      <c r="D393" s="1"/>
      <c r="E393" s="1"/>
      <c r="F393" s="1"/>
      <c r="G393" s="15"/>
      <c r="H393" s="1"/>
      <c r="I393" s="23"/>
      <c r="J393" s="23"/>
      <c r="K393" s="14"/>
      <c r="L393" s="23"/>
      <c r="M393" s="14"/>
      <c r="N393" s="20"/>
      <c r="O393" s="20"/>
      <c r="P393" s="20"/>
      <c r="Q393" s="7"/>
    </row>
    <row r="394" spans="3:17" s="2" customFormat="1" ht="15.75" x14ac:dyDescent="0.25">
      <c r="C394" s="1"/>
      <c r="D394" s="1"/>
      <c r="E394" s="1"/>
      <c r="F394" s="1"/>
      <c r="G394" s="15"/>
      <c r="H394" s="1"/>
      <c r="I394" s="23"/>
      <c r="J394" s="23"/>
      <c r="K394" s="14"/>
      <c r="L394" s="23"/>
      <c r="M394" s="14"/>
      <c r="N394" s="20"/>
      <c r="O394" s="20"/>
      <c r="P394" s="20"/>
      <c r="Q394" s="7"/>
    </row>
    <row r="395" spans="3:17" s="2" customFormat="1" ht="15.75" x14ac:dyDescent="0.25">
      <c r="C395" s="1"/>
      <c r="D395" s="1"/>
      <c r="E395" s="1"/>
      <c r="F395" s="1"/>
      <c r="G395" s="15"/>
      <c r="H395" s="1"/>
      <c r="I395" s="23"/>
      <c r="J395" s="23"/>
      <c r="K395" s="14"/>
      <c r="L395" s="23"/>
      <c r="M395" s="14"/>
      <c r="N395" s="20"/>
      <c r="O395" s="20"/>
      <c r="P395" s="20"/>
      <c r="Q395" s="7"/>
    </row>
    <row r="396" spans="3:17" s="2" customFormat="1" ht="15.75" x14ac:dyDescent="0.25">
      <c r="C396" s="1"/>
      <c r="D396" s="1"/>
      <c r="E396" s="1"/>
      <c r="F396" s="1"/>
      <c r="G396" s="15"/>
      <c r="H396" s="1"/>
      <c r="I396" s="23"/>
      <c r="J396" s="23"/>
      <c r="K396" s="14"/>
      <c r="L396" s="23"/>
      <c r="M396" s="14"/>
      <c r="N396" s="20"/>
      <c r="O396" s="20"/>
      <c r="P396" s="20"/>
      <c r="Q396" s="7"/>
    </row>
    <row r="397" spans="3:17" s="2" customFormat="1" ht="15.75" x14ac:dyDescent="0.25">
      <c r="C397" s="1"/>
      <c r="D397" s="1"/>
      <c r="E397" s="1"/>
      <c r="F397" s="1"/>
      <c r="G397" s="15"/>
      <c r="H397" s="1"/>
      <c r="I397" s="23"/>
      <c r="J397" s="23"/>
      <c r="K397" s="14"/>
      <c r="L397" s="23"/>
      <c r="M397" s="14"/>
      <c r="N397" s="20"/>
      <c r="O397" s="20"/>
      <c r="P397" s="20"/>
      <c r="Q397" s="7"/>
    </row>
    <row r="398" spans="3:17" s="2" customFormat="1" ht="15.75" x14ac:dyDescent="0.25">
      <c r="C398" s="1"/>
      <c r="D398" s="1"/>
      <c r="E398" s="1"/>
      <c r="F398" s="1"/>
      <c r="G398" s="15"/>
      <c r="H398" s="1"/>
      <c r="I398" s="23"/>
      <c r="J398" s="23"/>
      <c r="K398" s="14"/>
      <c r="L398" s="23"/>
      <c r="M398" s="14"/>
      <c r="N398" s="20"/>
      <c r="O398" s="20"/>
      <c r="P398" s="20"/>
      <c r="Q398" s="7"/>
    </row>
    <row r="399" spans="3:17" s="2" customFormat="1" ht="15.75" x14ac:dyDescent="0.25">
      <c r="C399" s="1"/>
      <c r="D399" s="1"/>
      <c r="E399" s="1"/>
      <c r="F399" s="1"/>
      <c r="G399" s="15"/>
      <c r="H399" s="1"/>
      <c r="I399" s="23"/>
      <c r="J399" s="23"/>
      <c r="K399" s="14"/>
      <c r="L399" s="23"/>
      <c r="M399" s="14"/>
      <c r="N399" s="20"/>
      <c r="O399" s="20"/>
      <c r="P399" s="20"/>
      <c r="Q399" s="7"/>
    </row>
    <row r="400" spans="3:17" s="2" customFormat="1" ht="15.75" x14ac:dyDescent="0.25">
      <c r="C400" s="1"/>
      <c r="D400" s="1"/>
      <c r="E400" s="1"/>
      <c r="F400" s="1"/>
      <c r="G400" s="15"/>
      <c r="H400" s="1"/>
      <c r="I400" s="23"/>
      <c r="J400" s="23"/>
      <c r="K400" s="14"/>
      <c r="L400" s="23"/>
      <c r="M400" s="14"/>
      <c r="N400" s="20"/>
      <c r="O400" s="20"/>
      <c r="P400" s="20"/>
      <c r="Q400" s="7"/>
    </row>
    <row r="401" spans="3:19" s="2" customFormat="1" ht="15.75" x14ac:dyDescent="0.25">
      <c r="C401" s="1"/>
      <c r="D401" s="1"/>
      <c r="E401" s="1"/>
      <c r="F401" s="1"/>
      <c r="G401" s="15"/>
      <c r="H401" s="1"/>
      <c r="I401" s="23"/>
      <c r="J401" s="23"/>
      <c r="K401" s="14"/>
      <c r="L401" s="23"/>
      <c r="M401" s="14"/>
      <c r="N401" s="20"/>
      <c r="O401" s="20"/>
      <c r="P401" s="20"/>
      <c r="Q401" s="7"/>
    </row>
    <row r="402" spans="3:19" s="2" customFormat="1" ht="15.75" x14ac:dyDescent="0.25">
      <c r="C402" s="1"/>
      <c r="D402" s="1"/>
      <c r="E402" s="1"/>
      <c r="F402" s="1"/>
      <c r="G402" s="15"/>
      <c r="H402" s="1"/>
      <c r="I402" s="23"/>
      <c r="J402" s="23"/>
      <c r="K402" s="14"/>
      <c r="L402" s="23"/>
      <c r="M402" s="14"/>
      <c r="N402" s="20"/>
      <c r="O402" s="20"/>
      <c r="P402" s="20"/>
      <c r="Q402" s="7"/>
    </row>
    <row r="403" spans="3:19" s="2" customFormat="1" ht="15.75" x14ac:dyDescent="0.25">
      <c r="C403" s="1"/>
      <c r="D403" s="1"/>
      <c r="E403" s="1"/>
      <c r="F403" s="1"/>
      <c r="G403" s="15"/>
      <c r="H403" s="1"/>
      <c r="I403" s="23"/>
      <c r="J403" s="23"/>
      <c r="K403" s="14"/>
      <c r="L403" s="23"/>
      <c r="M403" s="14"/>
      <c r="N403" s="20"/>
      <c r="O403" s="20"/>
      <c r="P403" s="20"/>
      <c r="Q403" s="7"/>
    </row>
    <row r="404" spans="3:19" s="2" customFormat="1" ht="15.75" x14ac:dyDescent="0.25">
      <c r="C404" s="1"/>
      <c r="D404" s="1"/>
      <c r="E404" s="1"/>
      <c r="F404" s="1"/>
      <c r="G404" s="15"/>
      <c r="H404" s="1"/>
      <c r="I404" s="23"/>
      <c r="J404" s="23"/>
      <c r="K404" s="14"/>
      <c r="L404" s="23"/>
      <c r="M404" s="14"/>
      <c r="N404" s="20"/>
      <c r="O404" s="20"/>
      <c r="P404" s="20"/>
      <c r="Q404" s="7"/>
    </row>
    <row r="405" spans="3:19" s="2" customFormat="1" ht="15.75" x14ac:dyDescent="0.25">
      <c r="C405" s="1"/>
      <c r="D405" s="1"/>
      <c r="E405" s="1"/>
      <c r="F405" s="1"/>
      <c r="G405" s="15"/>
      <c r="H405" s="1"/>
      <c r="I405" s="23"/>
      <c r="J405" s="23"/>
      <c r="K405" s="14"/>
      <c r="L405" s="23"/>
      <c r="M405" s="14"/>
      <c r="N405" s="20"/>
      <c r="O405" s="20"/>
      <c r="P405" s="20"/>
      <c r="Q405" s="7"/>
    </row>
    <row r="406" spans="3:19" s="2" customFormat="1" ht="15.75" x14ac:dyDescent="0.25">
      <c r="C406" s="1"/>
      <c r="D406" s="1"/>
      <c r="E406" s="1"/>
      <c r="F406" s="1"/>
      <c r="G406" s="15"/>
      <c r="H406" s="1"/>
      <c r="I406" s="23"/>
      <c r="J406" s="23"/>
      <c r="K406" s="14"/>
      <c r="L406" s="23"/>
      <c r="M406" s="14"/>
      <c r="N406" s="20"/>
      <c r="O406" s="20"/>
      <c r="P406" s="20"/>
      <c r="Q406" s="7"/>
      <c r="S406" s="2" t="s">
        <v>12</v>
      </c>
    </row>
    <row r="407" spans="3:19" s="2" customFormat="1" ht="15.75" x14ac:dyDescent="0.25">
      <c r="C407" s="1"/>
      <c r="D407" s="1"/>
      <c r="E407" s="1"/>
      <c r="F407" s="1"/>
      <c r="G407" s="15"/>
      <c r="H407" s="1"/>
      <c r="I407" s="23"/>
      <c r="J407" s="23"/>
      <c r="K407" s="14"/>
      <c r="L407" s="23"/>
      <c r="M407" s="14"/>
      <c r="N407" s="20"/>
      <c r="O407" s="20"/>
      <c r="P407" s="20"/>
      <c r="Q407" s="7"/>
    </row>
    <row r="408" spans="3:19" s="2" customFormat="1" ht="15.75" x14ac:dyDescent="0.25">
      <c r="C408" s="1"/>
      <c r="D408" s="1"/>
      <c r="E408" s="1"/>
      <c r="F408" s="1"/>
      <c r="G408" s="15"/>
      <c r="H408" s="1"/>
      <c r="I408" s="23"/>
      <c r="J408" s="23"/>
      <c r="K408" s="14"/>
      <c r="L408" s="23"/>
      <c r="M408" s="14"/>
      <c r="N408" s="20"/>
      <c r="O408" s="20"/>
      <c r="P408" s="20"/>
      <c r="Q408" s="7"/>
    </row>
    <row r="409" spans="3:19" s="2" customFormat="1" ht="15.75" x14ac:dyDescent="0.25">
      <c r="C409" s="1"/>
      <c r="D409" s="1"/>
      <c r="E409" s="1"/>
      <c r="F409" s="1"/>
      <c r="G409" s="15"/>
      <c r="H409" s="1"/>
      <c r="I409" s="23"/>
      <c r="J409" s="23"/>
      <c r="K409" s="14"/>
      <c r="L409" s="23"/>
      <c r="M409" s="14"/>
      <c r="N409" s="20"/>
      <c r="O409" s="20"/>
      <c r="P409" s="20"/>
      <c r="Q409" s="7"/>
    </row>
    <row r="410" spans="3:19" s="2" customFormat="1" ht="15.75" x14ac:dyDescent="0.25">
      <c r="C410" s="1"/>
      <c r="D410" s="1"/>
      <c r="E410" s="1"/>
      <c r="F410" s="1"/>
      <c r="G410" s="15"/>
      <c r="H410" s="1"/>
      <c r="I410" s="23"/>
      <c r="J410" s="23"/>
      <c r="K410" s="14"/>
      <c r="L410" s="23"/>
      <c r="M410" s="14"/>
      <c r="N410" s="20"/>
      <c r="O410" s="20"/>
      <c r="P410" s="20"/>
      <c r="Q410" s="7"/>
    </row>
    <row r="411" spans="3:19" s="2" customFormat="1" ht="15.75" x14ac:dyDescent="0.25">
      <c r="C411" s="1"/>
      <c r="D411" s="1"/>
      <c r="E411" s="1"/>
      <c r="F411" s="1"/>
      <c r="G411" s="15"/>
      <c r="H411" s="1"/>
      <c r="I411" s="23"/>
      <c r="J411" s="23"/>
      <c r="K411" s="14"/>
      <c r="L411" s="23"/>
      <c r="M411" s="14"/>
      <c r="N411" s="20"/>
      <c r="O411" s="20"/>
      <c r="P411" s="20"/>
      <c r="Q411" s="7"/>
    </row>
    <row r="412" spans="3:19" s="2" customFormat="1" ht="15.75" x14ac:dyDescent="0.25">
      <c r="C412" s="1"/>
      <c r="D412" s="1"/>
      <c r="E412" s="1"/>
      <c r="F412" s="1"/>
      <c r="G412" s="15"/>
      <c r="H412" s="1"/>
      <c r="I412" s="23"/>
      <c r="J412" s="23"/>
      <c r="K412" s="14"/>
      <c r="L412" s="23"/>
      <c r="M412" s="14"/>
      <c r="N412" s="20"/>
      <c r="O412" s="20"/>
      <c r="P412" s="20"/>
      <c r="Q412" s="7"/>
    </row>
    <row r="413" spans="3:19" s="2" customFormat="1" ht="15.75" x14ac:dyDescent="0.25">
      <c r="C413" s="1"/>
      <c r="D413" s="1"/>
      <c r="E413" s="1"/>
      <c r="F413" s="1"/>
      <c r="G413" s="15"/>
      <c r="H413" s="1"/>
      <c r="I413" s="23"/>
      <c r="J413" s="23"/>
      <c r="K413" s="14"/>
      <c r="L413" s="23"/>
      <c r="M413" s="14"/>
      <c r="N413" s="20"/>
      <c r="O413" s="20"/>
      <c r="P413" s="20"/>
      <c r="Q413" s="7"/>
    </row>
    <row r="414" spans="3:19" s="2" customFormat="1" ht="15.75" x14ac:dyDescent="0.25">
      <c r="C414" s="1"/>
      <c r="D414" s="1"/>
      <c r="E414" s="1"/>
      <c r="F414" s="1"/>
      <c r="G414" s="15"/>
      <c r="H414" s="1"/>
      <c r="I414" s="23"/>
      <c r="J414" s="23"/>
      <c r="K414" s="14"/>
      <c r="L414" s="23"/>
      <c r="M414" s="14"/>
      <c r="N414" s="20"/>
      <c r="O414" s="20"/>
      <c r="P414" s="20"/>
      <c r="Q414" s="7"/>
    </row>
    <row r="415" spans="3:19" s="2" customFormat="1" ht="15.75" x14ac:dyDescent="0.25">
      <c r="C415" s="1"/>
      <c r="D415" s="1"/>
      <c r="E415" s="1"/>
      <c r="F415" s="1"/>
      <c r="G415" s="15"/>
      <c r="H415" s="1"/>
      <c r="I415" s="23"/>
      <c r="J415" s="23"/>
      <c r="K415" s="14"/>
      <c r="L415" s="23"/>
      <c r="M415" s="14"/>
      <c r="N415" s="20"/>
      <c r="O415" s="20"/>
      <c r="P415" s="20"/>
      <c r="Q415" s="7"/>
    </row>
    <row r="416" spans="3:19" s="2" customFormat="1" ht="15.75" x14ac:dyDescent="0.25">
      <c r="C416" s="1"/>
      <c r="D416" s="1"/>
      <c r="E416" s="1"/>
      <c r="F416" s="1"/>
      <c r="G416" s="15"/>
      <c r="H416" s="1"/>
      <c r="I416" s="23"/>
      <c r="J416" s="23"/>
      <c r="K416" s="14"/>
      <c r="L416" s="23"/>
      <c r="M416" s="14"/>
      <c r="N416" s="20"/>
      <c r="O416" s="20"/>
      <c r="P416" s="20"/>
      <c r="Q416" s="7"/>
    </row>
    <row r="417" spans="3:17" s="2" customFormat="1" ht="15.75" x14ac:dyDescent="0.25">
      <c r="C417" s="1"/>
      <c r="D417" s="1"/>
      <c r="E417" s="1"/>
      <c r="F417" s="1"/>
      <c r="G417" s="15"/>
      <c r="H417" s="1"/>
      <c r="I417" s="23"/>
      <c r="J417" s="23"/>
      <c r="K417" s="14"/>
      <c r="L417" s="23"/>
      <c r="M417" s="14"/>
      <c r="N417" s="20"/>
      <c r="O417" s="20"/>
      <c r="P417" s="20"/>
      <c r="Q417" s="7"/>
    </row>
    <row r="418" spans="3:17" s="2" customFormat="1" ht="15.75" x14ac:dyDescent="0.25">
      <c r="C418" s="1"/>
      <c r="D418" s="1"/>
      <c r="E418" s="1"/>
      <c r="F418" s="1"/>
      <c r="G418" s="15"/>
      <c r="H418" s="1"/>
      <c r="I418" s="23"/>
      <c r="J418" s="23"/>
      <c r="K418" s="14"/>
      <c r="L418" s="23"/>
      <c r="M418" s="14"/>
      <c r="N418" s="20"/>
      <c r="O418" s="20"/>
      <c r="P418" s="20"/>
      <c r="Q418" s="7"/>
    </row>
    <row r="419" spans="3:17" s="2" customFormat="1" ht="15.75" x14ac:dyDescent="0.25">
      <c r="C419" s="1"/>
      <c r="D419" s="1"/>
      <c r="E419" s="1"/>
      <c r="F419" s="1"/>
      <c r="G419" s="15"/>
      <c r="H419" s="1"/>
      <c r="I419" s="23"/>
      <c r="J419" s="23"/>
      <c r="K419" s="14"/>
      <c r="L419" s="23"/>
      <c r="M419" s="14"/>
      <c r="N419" s="20"/>
      <c r="O419" s="20"/>
      <c r="P419" s="20"/>
      <c r="Q419" s="7"/>
    </row>
    <row r="420" spans="3:17" s="2" customFormat="1" ht="15.75" x14ac:dyDescent="0.25">
      <c r="C420" s="1"/>
      <c r="D420" s="1"/>
      <c r="E420" s="1"/>
      <c r="F420" s="1"/>
      <c r="G420" s="15"/>
      <c r="H420" s="1"/>
      <c r="I420" s="23"/>
      <c r="J420" s="23"/>
      <c r="K420" s="14"/>
      <c r="L420" s="23"/>
      <c r="M420" s="14"/>
      <c r="N420" s="20"/>
      <c r="O420" s="20"/>
      <c r="P420" s="20"/>
      <c r="Q420" s="7"/>
    </row>
    <row r="421" spans="3:17" s="2" customFormat="1" ht="15.75" x14ac:dyDescent="0.25">
      <c r="C421" s="1"/>
      <c r="D421" s="1"/>
      <c r="E421" s="1"/>
      <c r="F421" s="1"/>
      <c r="G421" s="15"/>
      <c r="H421" s="1"/>
      <c r="I421" s="23"/>
      <c r="J421" s="23"/>
      <c r="K421" s="14"/>
      <c r="L421" s="23"/>
      <c r="M421" s="14"/>
      <c r="N421" s="20"/>
      <c r="O421" s="20"/>
      <c r="P421" s="20"/>
      <c r="Q421" s="7"/>
    </row>
    <row r="422" spans="3:17" s="2" customFormat="1" ht="15.75" x14ac:dyDescent="0.25">
      <c r="C422" s="1"/>
      <c r="D422" s="1"/>
      <c r="E422" s="1"/>
      <c r="F422" s="1"/>
      <c r="G422" s="15"/>
      <c r="H422" s="1"/>
      <c r="I422" s="23"/>
      <c r="J422" s="23"/>
      <c r="K422" s="14"/>
      <c r="L422" s="23"/>
      <c r="M422" s="14"/>
      <c r="N422" s="20"/>
      <c r="O422" s="20"/>
      <c r="P422" s="20"/>
      <c r="Q422" s="7"/>
    </row>
    <row r="423" spans="3:17" s="2" customFormat="1" ht="15.75" x14ac:dyDescent="0.25">
      <c r="C423" s="1"/>
      <c r="D423" s="1"/>
      <c r="E423" s="1"/>
      <c r="F423" s="1"/>
      <c r="G423" s="15"/>
      <c r="H423" s="1"/>
      <c r="I423" s="23"/>
      <c r="J423" s="23"/>
      <c r="K423" s="14"/>
      <c r="L423" s="23"/>
      <c r="M423" s="14"/>
      <c r="N423" s="20"/>
      <c r="O423" s="20"/>
      <c r="P423" s="20"/>
      <c r="Q423" s="7"/>
    </row>
    <row r="424" spans="3:17" s="2" customFormat="1" ht="15.75" x14ac:dyDescent="0.25">
      <c r="C424" s="1"/>
      <c r="D424" s="1"/>
      <c r="E424" s="1"/>
      <c r="F424" s="1"/>
      <c r="G424" s="15"/>
      <c r="H424" s="1"/>
      <c r="I424" s="23"/>
      <c r="J424" s="23"/>
      <c r="K424" s="14"/>
      <c r="L424" s="23"/>
      <c r="M424" s="14"/>
      <c r="N424" s="20"/>
      <c r="O424" s="20"/>
      <c r="P424" s="20"/>
      <c r="Q424" s="7"/>
    </row>
    <row r="425" spans="3:17" s="2" customFormat="1" ht="15.75" x14ac:dyDescent="0.25">
      <c r="C425" s="1"/>
      <c r="D425" s="1"/>
      <c r="E425" s="1"/>
      <c r="F425" s="1"/>
      <c r="G425" s="15"/>
      <c r="H425" s="1"/>
      <c r="I425" s="23"/>
      <c r="J425" s="23"/>
      <c r="K425" s="14"/>
      <c r="L425" s="23"/>
      <c r="M425" s="14"/>
      <c r="N425" s="20"/>
      <c r="O425" s="20"/>
      <c r="P425" s="20"/>
      <c r="Q425" s="7"/>
    </row>
    <row r="426" spans="3:17" s="2" customFormat="1" ht="15.75" x14ac:dyDescent="0.25">
      <c r="C426" s="1"/>
      <c r="D426" s="1"/>
      <c r="E426" s="1"/>
      <c r="F426" s="1"/>
      <c r="G426" s="15"/>
      <c r="H426" s="1"/>
      <c r="I426" s="23"/>
      <c r="J426" s="23"/>
      <c r="K426" s="14"/>
      <c r="L426" s="23"/>
      <c r="M426" s="14"/>
      <c r="N426" s="20"/>
      <c r="O426" s="20"/>
      <c r="P426" s="20"/>
      <c r="Q426" s="7"/>
    </row>
    <row r="427" spans="3:17" s="2" customFormat="1" ht="15.75" x14ac:dyDescent="0.25">
      <c r="C427" s="1"/>
      <c r="D427" s="1"/>
      <c r="E427" s="1"/>
      <c r="F427" s="1"/>
      <c r="G427" s="15"/>
      <c r="H427" s="1"/>
      <c r="I427" s="23"/>
      <c r="J427" s="23"/>
      <c r="K427" s="14"/>
      <c r="L427" s="23"/>
      <c r="M427" s="14"/>
      <c r="N427" s="20"/>
      <c r="O427" s="20"/>
      <c r="P427" s="20"/>
      <c r="Q427" s="7"/>
    </row>
    <row r="428" spans="3:17" s="2" customFormat="1" ht="15.75" x14ac:dyDescent="0.25">
      <c r="C428" s="1"/>
      <c r="D428" s="1"/>
      <c r="E428" s="1"/>
      <c r="F428" s="1"/>
      <c r="G428" s="15"/>
      <c r="H428" s="1"/>
      <c r="I428" s="23"/>
      <c r="J428" s="23"/>
      <c r="K428" s="14"/>
      <c r="L428" s="23"/>
      <c r="M428" s="14"/>
      <c r="N428" s="20"/>
      <c r="O428" s="20"/>
      <c r="P428" s="20"/>
      <c r="Q428" s="7"/>
    </row>
    <row r="429" spans="3:17" s="2" customFormat="1" ht="15.75" x14ac:dyDescent="0.25">
      <c r="C429" s="1"/>
      <c r="D429" s="1"/>
      <c r="E429" s="1"/>
      <c r="F429" s="1"/>
      <c r="G429" s="15"/>
      <c r="H429" s="1"/>
      <c r="I429" s="23"/>
      <c r="J429" s="23"/>
      <c r="K429" s="14"/>
      <c r="L429" s="23"/>
      <c r="M429" s="14"/>
      <c r="N429" s="20"/>
      <c r="O429" s="20"/>
      <c r="P429" s="20"/>
      <c r="Q429" s="7"/>
    </row>
    <row r="430" spans="3:17" s="2" customFormat="1" ht="15.75" x14ac:dyDescent="0.25">
      <c r="C430" s="1"/>
      <c r="D430" s="1"/>
      <c r="E430" s="1"/>
      <c r="F430" s="1"/>
      <c r="G430" s="15"/>
      <c r="H430" s="1"/>
      <c r="I430" s="23"/>
      <c r="J430" s="23"/>
      <c r="K430" s="14"/>
      <c r="L430" s="23"/>
      <c r="M430" s="14"/>
      <c r="N430" s="20"/>
      <c r="O430" s="20"/>
      <c r="P430" s="20"/>
      <c r="Q430" s="7"/>
    </row>
    <row r="431" spans="3:17" s="2" customFormat="1" ht="15.75" x14ac:dyDescent="0.25">
      <c r="C431" s="1"/>
      <c r="D431" s="1"/>
      <c r="E431" s="1"/>
      <c r="F431" s="1"/>
      <c r="G431" s="15"/>
      <c r="H431" s="1"/>
      <c r="I431" s="23"/>
      <c r="J431" s="23"/>
      <c r="K431" s="14"/>
      <c r="L431" s="23"/>
      <c r="M431" s="14"/>
      <c r="N431" s="20"/>
      <c r="O431" s="20"/>
      <c r="P431" s="20"/>
      <c r="Q431" s="7"/>
    </row>
    <row r="432" spans="3:17" s="2" customFormat="1" ht="15.75" x14ac:dyDescent="0.25">
      <c r="C432" s="1"/>
      <c r="D432" s="1"/>
      <c r="E432" s="1"/>
      <c r="F432" s="1"/>
      <c r="G432" s="15"/>
      <c r="H432" s="1"/>
      <c r="I432" s="23"/>
      <c r="J432" s="23"/>
      <c r="K432" s="14"/>
      <c r="L432" s="23"/>
      <c r="M432" s="14"/>
      <c r="N432" s="20"/>
      <c r="O432" s="20"/>
      <c r="P432" s="20"/>
      <c r="Q432" s="7"/>
    </row>
    <row r="433" spans="3:17" s="2" customFormat="1" ht="15.75" x14ac:dyDescent="0.25">
      <c r="C433" s="1"/>
      <c r="D433" s="1"/>
      <c r="E433" s="1"/>
      <c r="F433" s="1"/>
      <c r="G433" s="15"/>
      <c r="H433" s="1"/>
      <c r="I433" s="23"/>
      <c r="J433" s="23"/>
      <c r="K433" s="14"/>
      <c r="L433" s="23"/>
      <c r="M433" s="14"/>
      <c r="N433" s="20"/>
      <c r="O433" s="20"/>
      <c r="P433" s="20"/>
      <c r="Q433" s="7"/>
    </row>
    <row r="434" spans="3:17" s="2" customFormat="1" ht="15.75" x14ac:dyDescent="0.25">
      <c r="C434" s="1"/>
      <c r="D434" s="1"/>
      <c r="E434" s="1"/>
      <c r="F434" s="1"/>
      <c r="G434" s="15"/>
      <c r="H434" s="1"/>
      <c r="I434" s="23"/>
      <c r="J434" s="23"/>
      <c r="K434" s="14"/>
      <c r="L434" s="23"/>
      <c r="M434" s="14"/>
      <c r="N434" s="20"/>
      <c r="O434" s="20"/>
      <c r="P434" s="20"/>
      <c r="Q434" s="7"/>
    </row>
    <row r="435" spans="3:17" s="2" customFormat="1" ht="15.75" x14ac:dyDescent="0.25">
      <c r="C435" s="1"/>
      <c r="D435" s="1"/>
      <c r="E435" s="1"/>
      <c r="F435" s="1"/>
      <c r="G435" s="15"/>
      <c r="H435" s="1"/>
      <c r="I435" s="23"/>
      <c r="J435" s="23"/>
      <c r="K435" s="14"/>
      <c r="L435" s="23"/>
      <c r="M435" s="14"/>
      <c r="N435" s="20"/>
      <c r="O435" s="20"/>
      <c r="P435" s="20"/>
      <c r="Q435" s="7"/>
    </row>
    <row r="436" spans="3:17" s="2" customFormat="1" ht="15.75" x14ac:dyDescent="0.25">
      <c r="C436" s="1"/>
      <c r="D436" s="1"/>
      <c r="E436" s="1"/>
      <c r="F436" s="1"/>
      <c r="G436" s="15"/>
      <c r="H436" s="1"/>
      <c r="I436" s="23"/>
      <c r="J436" s="23"/>
      <c r="K436" s="14"/>
      <c r="L436" s="23"/>
      <c r="M436" s="14"/>
      <c r="N436" s="20"/>
      <c r="O436" s="20"/>
      <c r="P436" s="20"/>
      <c r="Q436" s="7"/>
    </row>
    <row r="437" spans="3:17" s="2" customFormat="1" ht="15.75" x14ac:dyDescent="0.25">
      <c r="C437" s="1"/>
      <c r="D437" s="1"/>
      <c r="E437" s="1"/>
      <c r="F437" s="1"/>
      <c r="G437" s="15"/>
      <c r="H437" s="1"/>
      <c r="I437" s="23"/>
      <c r="J437" s="23"/>
      <c r="K437" s="14"/>
      <c r="L437" s="23"/>
      <c r="M437" s="14"/>
      <c r="N437" s="20"/>
      <c r="O437" s="20"/>
      <c r="P437" s="20"/>
      <c r="Q437" s="7"/>
    </row>
    <row r="438" spans="3:17" s="2" customFormat="1" ht="15.75" x14ac:dyDescent="0.25">
      <c r="C438" s="1"/>
      <c r="D438" s="1"/>
      <c r="E438" s="1"/>
      <c r="F438" s="1"/>
      <c r="G438" s="15"/>
      <c r="H438" s="1"/>
      <c r="I438" s="23"/>
      <c r="J438" s="23"/>
      <c r="K438" s="14"/>
      <c r="L438" s="23"/>
      <c r="M438" s="14"/>
      <c r="N438" s="20"/>
      <c r="O438" s="20"/>
      <c r="P438" s="20"/>
      <c r="Q438" s="7"/>
    </row>
    <row r="439" spans="3:17" s="2" customFormat="1" ht="15.75" x14ac:dyDescent="0.25">
      <c r="C439" s="1"/>
      <c r="D439" s="1"/>
      <c r="E439" s="1"/>
      <c r="F439" s="1"/>
      <c r="G439" s="15"/>
      <c r="H439" s="1"/>
      <c r="I439" s="23"/>
      <c r="J439" s="23"/>
      <c r="K439" s="14"/>
      <c r="L439" s="23"/>
      <c r="M439" s="14"/>
      <c r="N439" s="20"/>
      <c r="O439" s="20"/>
      <c r="P439" s="20"/>
      <c r="Q439" s="7"/>
    </row>
    <row r="440" spans="3:17" s="2" customFormat="1" ht="15.75" x14ac:dyDescent="0.25">
      <c r="C440" s="1"/>
      <c r="D440" s="1"/>
      <c r="E440" s="1"/>
      <c r="F440" s="1"/>
      <c r="G440" s="15"/>
      <c r="H440" s="1"/>
      <c r="I440" s="23"/>
      <c r="J440" s="23"/>
      <c r="K440" s="14"/>
      <c r="L440" s="23"/>
      <c r="M440" s="14"/>
      <c r="N440" s="20"/>
      <c r="O440" s="20"/>
      <c r="P440" s="20"/>
      <c r="Q440" s="7"/>
    </row>
    <row r="441" spans="3:17" s="2" customFormat="1" ht="15.75" x14ac:dyDescent="0.25">
      <c r="C441" s="1"/>
      <c r="D441" s="1"/>
      <c r="E441" s="1"/>
      <c r="F441" s="1"/>
      <c r="G441" s="15"/>
      <c r="H441" s="1"/>
      <c r="I441" s="23"/>
      <c r="J441" s="23"/>
      <c r="K441" s="14"/>
      <c r="L441" s="23"/>
      <c r="M441" s="14"/>
      <c r="N441" s="20"/>
      <c r="O441" s="20"/>
      <c r="P441" s="20"/>
      <c r="Q441" s="7"/>
    </row>
    <row r="442" spans="3:17" s="2" customFormat="1" ht="15.75" x14ac:dyDescent="0.25">
      <c r="C442" s="1"/>
      <c r="D442" s="1"/>
      <c r="E442" s="1"/>
      <c r="F442" s="1"/>
      <c r="G442" s="15"/>
      <c r="H442" s="1"/>
      <c r="I442" s="23"/>
      <c r="J442" s="23"/>
      <c r="K442" s="14"/>
      <c r="L442" s="23"/>
      <c r="M442" s="14"/>
      <c r="N442" s="20"/>
      <c r="O442" s="20"/>
      <c r="P442" s="20"/>
      <c r="Q442" s="7"/>
    </row>
    <row r="443" spans="3:17" s="2" customFormat="1" ht="15.75" x14ac:dyDescent="0.25">
      <c r="C443" s="1"/>
      <c r="D443" s="1"/>
      <c r="E443" s="1"/>
      <c r="F443" s="1"/>
      <c r="G443" s="15"/>
      <c r="H443" s="1"/>
      <c r="I443" s="23"/>
      <c r="J443" s="23"/>
      <c r="K443" s="14"/>
      <c r="L443" s="23"/>
      <c r="M443" s="14"/>
      <c r="N443" s="20"/>
      <c r="O443" s="20"/>
      <c r="P443" s="20"/>
      <c r="Q443" s="7"/>
    </row>
    <row r="444" spans="3:17" s="2" customFormat="1" ht="15.75" x14ac:dyDescent="0.25">
      <c r="C444" s="1"/>
      <c r="D444" s="1"/>
      <c r="E444" s="1"/>
      <c r="F444" s="1"/>
      <c r="G444" s="15"/>
      <c r="H444" s="1"/>
      <c r="I444" s="23"/>
      <c r="J444" s="23"/>
      <c r="K444" s="14"/>
      <c r="L444" s="23"/>
      <c r="M444" s="14"/>
      <c r="N444" s="20"/>
      <c r="O444" s="20"/>
      <c r="P444" s="20"/>
      <c r="Q444" s="7"/>
    </row>
    <row r="445" spans="3:17" s="2" customFormat="1" ht="15.75" x14ac:dyDescent="0.25">
      <c r="C445" s="1"/>
      <c r="D445" s="1"/>
      <c r="E445" s="1"/>
      <c r="F445" s="1"/>
      <c r="G445" s="15"/>
      <c r="H445" s="1"/>
      <c r="I445" s="23"/>
      <c r="J445" s="23"/>
      <c r="K445" s="14"/>
      <c r="L445" s="23"/>
      <c r="M445" s="14"/>
      <c r="N445" s="20"/>
      <c r="O445" s="20"/>
      <c r="P445" s="20"/>
      <c r="Q445" s="7"/>
    </row>
    <row r="446" spans="3:17" s="2" customFormat="1" ht="15.75" x14ac:dyDescent="0.25">
      <c r="C446" s="1"/>
      <c r="D446" s="1"/>
      <c r="E446" s="1"/>
      <c r="F446" s="1"/>
      <c r="G446" s="15"/>
      <c r="H446" s="1"/>
      <c r="I446" s="23"/>
      <c r="J446" s="23"/>
      <c r="K446" s="14"/>
      <c r="L446" s="23"/>
      <c r="M446" s="14"/>
      <c r="N446" s="20"/>
      <c r="O446" s="20"/>
      <c r="P446" s="20"/>
      <c r="Q446" s="7"/>
    </row>
    <row r="447" spans="3:17" s="2" customFormat="1" ht="15.75" x14ac:dyDescent="0.25">
      <c r="C447" s="1"/>
      <c r="D447" s="1"/>
      <c r="E447" s="1"/>
      <c r="F447" s="1"/>
      <c r="G447" s="15"/>
      <c r="H447" s="1"/>
      <c r="I447" s="23"/>
      <c r="J447" s="23"/>
      <c r="K447" s="14"/>
      <c r="L447" s="23"/>
      <c r="M447" s="14"/>
      <c r="N447" s="20"/>
      <c r="O447" s="20"/>
      <c r="P447" s="20"/>
      <c r="Q447" s="7"/>
    </row>
    <row r="448" spans="3:17" s="2" customFormat="1" ht="15.75" x14ac:dyDescent="0.25">
      <c r="C448" s="1"/>
      <c r="D448" s="1"/>
      <c r="E448" s="1"/>
      <c r="F448" s="1"/>
      <c r="G448" s="15"/>
      <c r="H448" s="1"/>
      <c r="I448" s="23"/>
      <c r="J448" s="23"/>
      <c r="K448" s="14"/>
      <c r="L448" s="23"/>
      <c r="M448" s="14"/>
      <c r="N448" s="20"/>
      <c r="O448" s="20"/>
      <c r="P448" s="20"/>
      <c r="Q448" s="7"/>
    </row>
    <row r="449" spans="3:17" s="2" customFormat="1" ht="15.75" x14ac:dyDescent="0.25">
      <c r="C449" s="1"/>
      <c r="D449" s="1"/>
      <c r="E449" s="1"/>
      <c r="F449" s="1"/>
      <c r="G449" s="15"/>
      <c r="H449" s="1"/>
      <c r="I449" s="23"/>
      <c r="J449" s="23"/>
      <c r="K449" s="14"/>
      <c r="L449" s="23"/>
      <c r="M449" s="14"/>
      <c r="N449" s="20"/>
      <c r="O449" s="20"/>
      <c r="P449" s="20"/>
      <c r="Q449" s="7"/>
    </row>
    <row r="450" spans="3:17" s="2" customFormat="1" ht="15.75" x14ac:dyDescent="0.25">
      <c r="C450" s="1"/>
      <c r="D450" s="1"/>
      <c r="E450" s="1"/>
      <c r="F450" s="1"/>
      <c r="G450" s="15"/>
      <c r="H450" s="1"/>
      <c r="I450" s="23"/>
      <c r="J450" s="23"/>
      <c r="K450" s="14"/>
      <c r="L450" s="23"/>
      <c r="M450" s="14"/>
      <c r="N450" s="20"/>
      <c r="O450" s="20"/>
      <c r="P450" s="20"/>
      <c r="Q450" s="7"/>
    </row>
    <row r="451" spans="3:17" s="2" customFormat="1" ht="15.75" x14ac:dyDescent="0.25">
      <c r="C451" s="1"/>
      <c r="D451" s="1"/>
      <c r="E451" s="1"/>
      <c r="F451" s="1"/>
      <c r="G451" s="15"/>
      <c r="H451" s="1"/>
      <c r="I451" s="23"/>
      <c r="J451" s="23"/>
      <c r="K451" s="14"/>
      <c r="L451" s="23"/>
      <c r="M451" s="14"/>
      <c r="N451" s="20"/>
      <c r="O451" s="20"/>
      <c r="P451" s="20"/>
      <c r="Q451" s="7"/>
    </row>
    <row r="452" spans="3:17" s="2" customFormat="1" ht="15.75" x14ac:dyDescent="0.25">
      <c r="C452" s="1"/>
      <c r="D452" s="1"/>
      <c r="E452" s="1"/>
      <c r="F452" s="1"/>
      <c r="G452" s="15"/>
      <c r="H452" s="1"/>
      <c r="I452" s="23"/>
      <c r="J452" s="23"/>
      <c r="K452" s="14"/>
      <c r="L452" s="23"/>
      <c r="M452" s="14"/>
      <c r="N452" s="20"/>
      <c r="O452" s="20"/>
      <c r="P452" s="20"/>
      <c r="Q452" s="7"/>
    </row>
    <row r="453" spans="3:17" s="2" customFormat="1" ht="15.75" x14ac:dyDescent="0.25">
      <c r="C453" s="1"/>
      <c r="D453" s="1"/>
      <c r="E453" s="1"/>
      <c r="F453" s="1"/>
      <c r="G453" s="15"/>
      <c r="H453" s="1"/>
      <c r="I453" s="23"/>
      <c r="J453" s="23"/>
      <c r="K453" s="14"/>
      <c r="L453" s="23"/>
      <c r="M453" s="14"/>
      <c r="N453" s="20"/>
      <c r="O453" s="20"/>
      <c r="P453" s="20"/>
      <c r="Q453" s="7"/>
    </row>
    <row r="454" spans="3:17" s="2" customFormat="1" ht="15.75" x14ac:dyDescent="0.25">
      <c r="C454" s="1"/>
      <c r="D454" s="1"/>
      <c r="E454" s="1"/>
      <c r="F454" s="1"/>
      <c r="G454" s="15"/>
      <c r="H454" s="1"/>
      <c r="I454" s="23"/>
      <c r="J454" s="23"/>
      <c r="K454" s="14"/>
      <c r="L454" s="23"/>
      <c r="M454" s="14"/>
      <c r="N454" s="20"/>
      <c r="O454" s="20"/>
      <c r="P454" s="20"/>
      <c r="Q454" s="7"/>
    </row>
    <row r="455" spans="3:17" s="2" customFormat="1" ht="15.75" x14ac:dyDescent="0.25">
      <c r="C455" s="1"/>
      <c r="D455" s="1"/>
      <c r="E455" s="1"/>
      <c r="F455" s="1"/>
      <c r="G455" s="15"/>
      <c r="H455" s="1"/>
      <c r="I455" s="23"/>
      <c r="J455" s="23"/>
      <c r="K455" s="14"/>
      <c r="L455" s="23"/>
      <c r="M455" s="14"/>
      <c r="N455" s="20"/>
      <c r="O455" s="20"/>
      <c r="P455" s="20"/>
      <c r="Q455" s="7"/>
    </row>
    <row r="456" spans="3:17" s="2" customFormat="1" ht="15.75" x14ac:dyDescent="0.25">
      <c r="C456" s="1"/>
      <c r="D456" s="1"/>
      <c r="E456" s="1"/>
      <c r="F456" s="1"/>
      <c r="G456" s="15"/>
      <c r="H456" s="1"/>
      <c r="I456" s="23"/>
      <c r="J456" s="23"/>
      <c r="K456" s="14"/>
      <c r="L456" s="23"/>
      <c r="M456" s="14"/>
      <c r="N456" s="20"/>
      <c r="O456" s="20"/>
      <c r="P456" s="20"/>
      <c r="Q456" s="7"/>
    </row>
    <row r="457" spans="3:17" s="2" customFormat="1" ht="15.75" x14ac:dyDescent="0.25">
      <c r="C457" s="1"/>
      <c r="D457" s="1"/>
      <c r="E457" s="1"/>
      <c r="F457" s="1"/>
      <c r="G457" s="15"/>
      <c r="H457" s="1"/>
      <c r="I457" s="23"/>
      <c r="J457" s="23"/>
      <c r="K457" s="14"/>
      <c r="L457" s="23"/>
      <c r="M457" s="14"/>
      <c r="N457" s="20"/>
      <c r="O457" s="20"/>
      <c r="P457" s="20"/>
      <c r="Q457" s="7"/>
    </row>
    <row r="458" spans="3:17" s="2" customFormat="1" ht="15.75" x14ac:dyDescent="0.25">
      <c r="C458" s="1"/>
      <c r="D458" s="1"/>
      <c r="E458" s="1"/>
      <c r="F458" s="1"/>
      <c r="G458" s="15"/>
      <c r="H458" s="1"/>
      <c r="I458" s="23"/>
      <c r="J458" s="23"/>
      <c r="K458" s="14"/>
      <c r="L458" s="23"/>
      <c r="M458" s="14"/>
      <c r="N458" s="20"/>
      <c r="O458" s="20"/>
      <c r="P458" s="20"/>
      <c r="Q458" s="7"/>
    </row>
    <row r="459" spans="3:17" s="2" customFormat="1" ht="15.75" x14ac:dyDescent="0.25">
      <c r="C459" s="1"/>
      <c r="D459" s="1"/>
      <c r="E459" s="1"/>
      <c r="F459" s="1"/>
      <c r="G459" s="15"/>
      <c r="H459" s="1"/>
      <c r="I459" s="23"/>
      <c r="J459" s="23"/>
      <c r="K459" s="14"/>
      <c r="L459" s="23"/>
      <c r="M459" s="14"/>
      <c r="N459" s="20"/>
      <c r="O459" s="20"/>
      <c r="P459" s="20"/>
      <c r="Q459" s="7"/>
    </row>
    <row r="460" spans="3:17" s="2" customFormat="1" ht="15.75" x14ac:dyDescent="0.25">
      <c r="C460" s="1"/>
      <c r="D460" s="1"/>
      <c r="E460" s="1"/>
      <c r="F460" s="1"/>
      <c r="G460" s="15"/>
      <c r="H460" s="1"/>
      <c r="I460" s="23"/>
      <c r="J460" s="23"/>
      <c r="K460" s="14"/>
      <c r="L460" s="23"/>
      <c r="M460" s="14"/>
      <c r="N460" s="20"/>
      <c r="O460" s="20"/>
      <c r="P460" s="20"/>
      <c r="Q460" s="7"/>
    </row>
    <row r="461" spans="3:17" s="2" customFormat="1" ht="15.75" x14ac:dyDescent="0.25">
      <c r="C461" s="1"/>
      <c r="D461" s="1"/>
      <c r="E461" s="1"/>
      <c r="F461" s="1"/>
      <c r="G461" s="15"/>
      <c r="H461" s="1"/>
      <c r="I461" s="23"/>
      <c r="J461" s="23"/>
      <c r="K461" s="14"/>
      <c r="L461" s="23"/>
      <c r="M461" s="14"/>
      <c r="N461" s="20"/>
      <c r="O461" s="20"/>
      <c r="P461" s="20"/>
      <c r="Q461" s="7"/>
    </row>
    <row r="462" spans="3:17" s="2" customFormat="1" ht="15.75" x14ac:dyDescent="0.25">
      <c r="C462" s="1"/>
      <c r="D462" s="1"/>
      <c r="E462" s="1"/>
      <c r="F462" s="1"/>
      <c r="G462" s="15"/>
      <c r="H462" s="1"/>
      <c r="I462" s="23"/>
      <c r="J462" s="23"/>
      <c r="K462" s="14"/>
      <c r="L462" s="23"/>
      <c r="M462" s="14"/>
      <c r="N462" s="20"/>
      <c r="O462" s="20"/>
      <c r="P462" s="20"/>
      <c r="Q462" s="7"/>
    </row>
    <row r="463" spans="3:17" s="2" customFormat="1" ht="15.75" x14ac:dyDescent="0.25">
      <c r="C463" s="1"/>
      <c r="D463" s="1"/>
      <c r="E463" s="1"/>
      <c r="F463" s="1"/>
      <c r="G463" s="15"/>
      <c r="H463" s="1"/>
      <c r="I463" s="23"/>
      <c r="J463" s="23"/>
      <c r="K463" s="14"/>
      <c r="L463" s="23"/>
      <c r="M463" s="14"/>
      <c r="N463" s="20"/>
      <c r="O463" s="20"/>
      <c r="P463" s="20"/>
      <c r="Q463" s="7"/>
    </row>
    <row r="464" spans="3:17" s="2" customFormat="1" ht="15.75" x14ac:dyDescent="0.25">
      <c r="C464" s="1"/>
      <c r="D464" s="1"/>
      <c r="E464" s="1"/>
      <c r="F464" s="1"/>
      <c r="G464" s="15"/>
      <c r="H464" s="1"/>
      <c r="I464" s="23"/>
      <c r="J464" s="23"/>
      <c r="K464" s="14"/>
      <c r="L464" s="23"/>
      <c r="M464" s="14"/>
      <c r="N464" s="20"/>
      <c r="O464" s="20"/>
      <c r="P464" s="20"/>
      <c r="Q464" s="7"/>
    </row>
    <row r="465" spans="3:17" s="2" customFormat="1" ht="15.75" x14ac:dyDescent="0.25">
      <c r="C465" s="1"/>
      <c r="D465" s="1"/>
      <c r="E465" s="1"/>
      <c r="F465" s="1"/>
      <c r="G465" s="15"/>
      <c r="H465" s="1"/>
      <c r="I465" s="23"/>
      <c r="J465" s="23"/>
      <c r="K465" s="14"/>
      <c r="L465" s="23"/>
      <c r="M465" s="14"/>
      <c r="N465" s="20"/>
      <c r="O465" s="20"/>
      <c r="P465" s="20"/>
      <c r="Q465" s="7"/>
    </row>
    <row r="466" spans="3:17" s="2" customFormat="1" ht="15.75" x14ac:dyDescent="0.25">
      <c r="C466" s="1"/>
      <c r="D466" s="1"/>
      <c r="E466" s="1"/>
      <c r="F466" s="1"/>
      <c r="G466" s="15"/>
      <c r="H466" s="1"/>
      <c r="I466" s="23"/>
      <c r="J466" s="23"/>
      <c r="K466" s="14"/>
      <c r="L466" s="23"/>
      <c r="M466" s="14"/>
      <c r="N466" s="20"/>
      <c r="O466" s="20"/>
      <c r="P466" s="20"/>
      <c r="Q466" s="7"/>
    </row>
    <row r="467" spans="3:17" s="2" customFormat="1" ht="15.75" x14ac:dyDescent="0.25">
      <c r="C467" s="1"/>
      <c r="D467" s="1"/>
      <c r="E467" s="1"/>
      <c r="F467" s="1"/>
      <c r="G467" s="15"/>
      <c r="H467" s="1"/>
      <c r="I467" s="23"/>
      <c r="J467" s="23"/>
      <c r="K467" s="14"/>
      <c r="L467" s="23"/>
      <c r="M467" s="14"/>
      <c r="N467" s="20"/>
      <c r="O467" s="20"/>
      <c r="P467" s="20"/>
      <c r="Q467" s="7"/>
    </row>
    <row r="468" spans="3:17" s="2" customFormat="1" ht="15.75" x14ac:dyDescent="0.25">
      <c r="C468" s="1"/>
      <c r="D468" s="1"/>
      <c r="E468" s="1"/>
      <c r="F468" s="1"/>
      <c r="G468" s="15"/>
      <c r="H468" s="1"/>
      <c r="I468" s="23"/>
      <c r="J468" s="23"/>
      <c r="K468" s="14"/>
      <c r="L468" s="23"/>
      <c r="M468" s="14"/>
      <c r="N468" s="20"/>
      <c r="O468" s="20"/>
      <c r="P468" s="20"/>
      <c r="Q468" s="7"/>
    </row>
    <row r="469" spans="3:17" s="2" customFormat="1" ht="15.75" x14ac:dyDescent="0.25">
      <c r="C469" s="1"/>
      <c r="D469" s="1"/>
      <c r="E469" s="1"/>
      <c r="F469" s="1"/>
      <c r="G469" s="15"/>
      <c r="H469" s="1"/>
      <c r="I469" s="23"/>
      <c r="J469" s="23"/>
      <c r="K469" s="14"/>
      <c r="L469" s="23"/>
      <c r="M469" s="14"/>
      <c r="N469" s="20"/>
      <c r="O469" s="20"/>
      <c r="P469" s="20"/>
      <c r="Q469" s="7"/>
    </row>
    <row r="470" spans="3:17" s="2" customFormat="1" ht="15.75" x14ac:dyDescent="0.25">
      <c r="C470" s="1"/>
      <c r="D470" s="1"/>
      <c r="E470" s="1"/>
      <c r="F470" s="1"/>
      <c r="G470" s="15"/>
      <c r="H470" s="1"/>
      <c r="I470" s="23"/>
      <c r="J470" s="23"/>
      <c r="K470" s="14"/>
      <c r="L470" s="23"/>
      <c r="M470" s="14"/>
      <c r="N470" s="20"/>
      <c r="O470" s="20"/>
      <c r="P470" s="20"/>
      <c r="Q470" s="7"/>
    </row>
    <row r="471" spans="3:17" s="2" customFormat="1" ht="15.75" x14ac:dyDescent="0.25">
      <c r="C471" s="1"/>
      <c r="D471" s="1"/>
      <c r="E471" s="1"/>
      <c r="F471" s="1"/>
      <c r="G471" s="15"/>
      <c r="H471" s="1"/>
      <c r="I471" s="23"/>
      <c r="J471" s="23"/>
      <c r="K471" s="14"/>
      <c r="L471" s="23"/>
      <c r="M471" s="14"/>
      <c r="N471" s="20"/>
      <c r="O471" s="20"/>
      <c r="P471" s="20"/>
      <c r="Q471" s="7"/>
    </row>
    <row r="472" spans="3:17" s="2" customFormat="1" ht="15.75" x14ac:dyDescent="0.25">
      <c r="C472" s="1"/>
      <c r="D472" s="1"/>
      <c r="E472" s="1"/>
      <c r="F472" s="1"/>
      <c r="G472" s="15"/>
      <c r="H472" s="1"/>
      <c r="I472" s="23"/>
      <c r="J472" s="23"/>
      <c r="K472" s="14"/>
      <c r="L472" s="23"/>
      <c r="M472" s="14"/>
      <c r="N472" s="20"/>
      <c r="O472" s="20"/>
      <c r="P472" s="20"/>
      <c r="Q472" s="7"/>
    </row>
    <row r="473" spans="3:17" s="2" customFormat="1" ht="15.75" x14ac:dyDescent="0.25">
      <c r="C473" s="1"/>
      <c r="D473" s="1"/>
      <c r="E473" s="1"/>
      <c r="F473" s="1"/>
      <c r="G473" s="15"/>
      <c r="H473" s="1"/>
      <c r="I473" s="23"/>
      <c r="J473" s="23"/>
      <c r="K473" s="14"/>
      <c r="L473" s="23"/>
      <c r="M473" s="14"/>
      <c r="N473" s="20"/>
      <c r="O473" s="20"/>
      <c r="P473" s="20"/>
      <c r="Q473" s="7"/>
    </row>
    <row r="474" spans="3:17" s="2" customFormat="1" ht="15.75" x14ac:dyDescent="0.25">
      <c r="C474" s="1"/>
      <c r="D474" s="1"/>
      <c r="E474" s="1"/>
      <c r="F474" s="1"/>
      <c r="G474" s="15"/>
      <c r="H474" s="1"/>
      <c r="I474" s="23"/>
      <c r="J474" s="23"/>
      <c r="K474" s="14"/>
      <c r="L474" s="23"/>
      <c r="M474" s="14"/>
      <c r="N474" s="20"/>
      <c r="O474" s="20"/>
      <c r="P474" s="20"/>
      <c r="Q474" s="7"/>
    </row>
    <row r="475" spans="3:17" s="2" customFormat="1" ht="15.75" x14ac:dyDescent="0.25">
      <c r="C475" s="1"/>
      <c r="D475" s="1"/>
      <c r="E475" s="1"/>
      <c r="F475" s="1"/>
      <c r="G475" s="15"/>
      <c r="H475" s="1"/>
      <c r="I475" s="23"/>
      <c r="J475" s="23"/>
      <c r="K475" s="14"/>
      <c r="L475" s="23"/>
      <c r="M475" s="14"/>
      <c r="N475" s="20"/>
      <c r="O475" s="20"/>
      <c r="P475" s="20"/>
      <c r="Q475" s="7"/>
    </row>
    <row r="476" spans="3:17" s="2" customFormat="1" ht="15.75" x14ac:dyDescent="0.25">
      <c r="C476" s="1"/>
      <c r="D476" s="1"/>
      <c r="E476" s="1"/>
      <c r="F476" s="1"/>
      <c r="G476" s="15"/>
      <c r="H476" s="1"/>
      <c r="I476" s="23"/>
      <c r="J476" s="23"/>
      <c r="K476" s="14"/>
      <c r="L476" s="23"/>
      <c r="M476" s="14"/>
      <c r="N476" s="20"/>
      <c r="O476" s="20"/>
      <c r="P476" s="20"/>
      <c r="Q476" s="7"/>
    </row>
    <row r="477" spans="3:17" s="2" customFormat="1" ht="15.75" x14ac:dyDescent="0.25">
      <c r="C477" s="1"/>
      <c r="D477" s="1"/>
      <c r="E477" s="1"/>
      <c r="F477" s="1"/>
      <c r="G477" s="15"/>
      <c r="H477" s="1"/>
      <c r="I477" s="23"/>
      <c r="J477" s="23"/>
      <c r="K477" s="14"/>
      <c r="L477" s="23"/>
      <c r="M477" s="14"/>
      <c r="N477" s="20"/>
      <c r="O477" s="20"/>
      <c r="P477" s="20"/>
      <c r="Q477" s="7"/>
    </row>
    <row r="478" spans="3:17" s="2" customFormat="1" ht="15.75" x14ac:dyDescent="0.25">
      <c r="C478" s="1"/>
      <c r="D478" s="1"/>
      <c r="E478" s="1"/>
      <c r="F478" s="1"/>
      <c r="G478" s="15"/>
      <c r="H478" s="1"/>
      <c r="I478" s="23"/>
      <c r="J478" s="23"/>
      <c r="K478" s="14"/>
      <c r="L478" s="23"/>
      <c r="M478" s="14"/>
      <c r="N478" s="20"/>
      <c r="O478" s="20"/>
      <c r="P478" s="20"/>
      <c r="Q478" s="7"/>
    </row>
    <row r="479" spans="3:17" s="2" customFormat="1" ht="15.75" x14ac:dyDescent="0.25">
      <c r="C479" s="1"/>
      <c r="D479" s="1"/>
      <c r="E479" s="1"/>
      <c r="F479" s="1"/>
      <c r="G479" s="15"/>
      <c r="H479" s="1"/>
      <c r="I479" s="23"/>
      <c r="J479" s="23"/>
      <c r="K479" s="14"/>
      <c r="L479" s="23"/>
      <c r="M479" s="14"/>
      <c r="N479" s="20"/>
      <c r="O479" s="20"/>
      <c r="P479" s="20"/>
      <c r="Q479" s="7"/>
    </row>
    <row r="480" spans="3:17" s="2" customFormat="1" ht="15.75" x14ac:dyDescent="0.25">
      <c r="C480" s="1"/>
      <c r="D480" s="1"/>
      <c r="E480" s="1"/>
      <c r="F480" s="1"/>
      <c r="G480" s="15"/>
      <c r="H480" s="1"/>
      <c r="I480" s="23"/>
      <c r="J480" s="23"/>
      <c r="K480" s="14"/>
      <c r="L480" s="23"/>
      <c r="M480" s="14"/>
      <c r="N480" s="20"/>
      <c r="O480" s="20"/>
      <c r="P480" s="20"/>
      <c r="Q480" s="7"/>
    </row>
    <row r="481" spans="3:17" s="2" customFormat="1" ht="15.75" x14ac:dyDescent="0.25">
      <c r="C481" s="1"/>
      <c r="D481" s="1"/>
      <c r="E481" s="1"/>
      <c r="F481" s="1"/>
      <c r="G481" s="15"/>
      <c r="H481" s="1"/>
      <c r="I481" s="23"/>
      <c r="J481" s="23"/>
      <c r="K481" s="14"/>
      <c r="L481" s="23"/>
      <c r="M481" s="14"/>
      <c r="N481" s="20"/>
      <c r="O481" s="20"/>
      <c r="P481" s="20"/>
      <c r="Q481" s="7"/>
    </row>
    <row r="482" spans="3:17" s="2" customFormat="1" ht="15.75" x14ac:dyDescent="0.25">
      <c r="C482" s="1"/>
      <c r="D482" s="1"/>
      <c r="E482" s="1"/>
      <c r="F482" s="1"/>
      <c r="G482" s="15"/>
      <c r="H482" s="1"/>
      <c r="I482" s="23"/>
      <c r="J482" s="23"/>
      <c r="K482" s="14"/>
      <c r="L482" s="23"/>
      <c r="M482" s="14"/>
      <c r="N482" s="20"/>
      <c r="O482" s="20"/>
      <c r="P482" s="20"/>
      <c r="Q482" s="7"/>
    </row>
    <row r="483" spans="3:17" s="2" customFormat="1" ht="15.75" x14ac:dyDescent="0.25">
      <c r="C483" s="1"/>
      <c r="D483" s="1"/>
      <c r="E483" s="1"/>
      <c r="F483" s="1"/>
      <c r="G483" s="15"/>
      <c r="H483" s="1"/>
      <c r="I483" s="23"/>
      <c r="J483" s="23"/>
      <c r="K483" s="14"/>
      <c r="L483" s="23"/>
      <c r="M483" s="14"/>
      <c r="N483" s="20"/>
      <c r="O483" s="20"/>
      <c r="P483" s="20"/>
      <c r="Q483" s="7"/>
    </row>
    <row r="484" spans="3:17" s="2" customFormat="1" ht="15.75" x14ac:dyDescent="0.25">
      <c r="C484" s="1"/>
      <c r="D484" s="1"/>
      <c r="E484" s="1"/>
      <c r="F484" s="1"/>
      <c r="G484" s="15"/>
      <c r="H484" s="1"/>
      <c r="I484" s="23"/>
      <c r="J484" s="23"/>
      <c r="K484" s="14"/>
      <c r="L484" s="23"/>
      <c r="M484" s="14"/>
      <c r="N484" s="20"/>
      <c r="O484" s="20"/>
      <c r="P484" s="20"/>
      <c r="Q484" s="7"/>
    </row>
    <row r="485" spans="3:17" s="2" customFormat="1" ht="15.75" x14ac:dyDescent="0.25">
      <c r="C485" s="1"/>
      <c r="D485" s="1"/>
      <c r="E485" s="1"/>
      <c r="F485" s="1"/>
      <c r="G485" s="15"/>
      <c r="H485" s="1"/>
      <c r="I485" s="23"/>
      <c r="J485" s="23"/>
      <c r="K485" s="14"/>
      <c r="L485" s="23"/>
      <c r="M485" s="14"/>
      <c r="N485" s="20"/>
      <c r="O485" s="20"/>
      <c r="P485" s="20"/>
      <c r="Q485" s="7"/>
    </row>
    <row r="486" spans="3:17" s="2" customFormat="1" ht="15.75" x14ac:dyDescent="0.25">
      <c r="C486" s="1"/>
      <c r="D486" s="1"/>
      <c r="E486" s="1"/>
      <c r="F486" s="1"/>
      <c r="G486" s="15"/>
      <c r="H486" s="1"/>
      <c r="I486" s="23"/>
      <c r="J486" s="23"/>
      <c r="K486" s="14"/>
      <c r="L486" s="23"/>
      <c r="M486" s="14"/>
      <c r="N486" s="20"/>
      <c r="O486" s="20"/>
      <c r="P486" s="20"/>
      <c r="Q486" s="7"/>
    </row>
    <row r="487" spans="3:17" s="2" customFormat="1" ht="15.75" x14ac:dyDescent="0.25">
      <c r="C487" s="1"/>
      <c r="D487" s="1"/>
      <c r="E487" s="1"/>
      <c r="F487" s="1"/>
      <c r="G487" s="15"/>
      <c r="H487" s="1"/>
      <c r="I487" s="23"/>
      <c r="J487" s="23"/>
      <c r="K487" s="14"/>
      <c r="L487" s="23"/>
      <c r="M487" s="14"/>
      <c r="N487" s="20"/>
      <c r="O487" s="20"/>
      <c r="P487" s="20"/>
      <c r="Q487" s="7"/>
    </row>
    <row r="488" spans="3:17" s="2" customFormat="1" ht="15.75" x14ac:dyDescent="0.25">
      <c r="C488" s="1"/>
      <c r="D488" s="1"/>
      <c r="E488" s="1"/>
      <c r="F488" s="1"/>
      <c r="G488" s="15"/>
      <c r="H488" s="1"/>
      <c r="I488" s="23"/>
      <c r="J488" s="23"/>
      <c r="K488" s="14"/>
      <c r="L488" s="23"/>
      <c r="M488" s="14"/>
      <c r="N488" s="20"/>
      <c r="O488" s="20"/>
      <c r="P488" s="20"/>
      <c r="Q488" s="7"/>
    </row>
    <row r="489" spans="3:17" s="2" customFormat="1" ht="15.75" x14ac:dyDescent="0.25">
      <c r="C489" s="1"/>
      <c r="D489" s="1"/>
      <c r="E489" s="1"/>
      <c r="F489" s="1"/>
      <c r="G489" s="15"/>
      <c r="H489" s="1"/>
      <c r="I489" s="23"/>
      <c r="J489" s="23"/>
      <c r="K489" s="14"/>
      <c r="L489" s="23"/>
      <c r="M489" s="14"/>
      <c r="N489" s="20"/>
      <c r="O489" s="20"/>
      <c r="P489" s="20"/>
      <c r="Q489" s="7"/>
    </row>
    <row r="490" spans="3:17" s="2" customFormat="1" ht="15.75" x14ac:dyDescent="0.25">
      <c r="C490" s="1"/>
      <c r="D490" s="1"/>
      <c r="E490" s="1"/>
      <c r="F490" s="1"/>
      <c r="G490" s="15"/>
      <c r="H490" s="1"/>
      <c r="I490" s="23"/>
      <c r="J490" s="23"/>
      <c r="K490" s="14"/>
      <c r="L490" s="23"/>
      <c r="M490" s="14"/>
      <c r="N490" s="20"/>
      <c r="O490" s="20"/>
      <c r="P490" s="20"/>
      <c r="Q490" s="7"/>
    </row>
    <row r="491" spans="3:17" s="2" customFormat="1" ht="15.75" x14ac:dyDescent="0.25">
      <c r="C491" s="1"/>
      <c r="D491" s="1"/>
      <c r="E491" s="1"/>
      <c r="F491" s="1"/>
      <c r="G491" s="15"/>
      <c r="H491" s="1"/>
      <c r="I491" s="23"/>
      <c r="J491" s="23"/>
      <c r="K491" s="14"/>
      <c r="L491" s="23"/>
      <c r="M491" s="14"/>
      <c r="N491" s="20"/>
      <c r="O491" s="20"/>
      <c r="P491" s="20"/>
      <c r="Q491" s="7"/>
    </row>
    <row r="492" spans="3:17" s="2" customFormat="1" ht="15.75" x14ac:dyDescent="0.25">
      <c r="C492" s="1"/>
      <c r="D492" s="1"/>
      <c r="E492" s="1"/>
      <c r="F492" s="1"/>
      <c r="G492" s="15"/>
      <c r="H492" s="1"/>
      <c r="I492" s="23"/>
      <c r="J492" s="23"/>
      <c r="K492" s="14"/>
      <c r="L492" s="23"/>
      <c r="M492" s="14"/>
      <c r="N492" s="20"/>
      <c r="O492" s="20"/>
      <c r="P492" s="20"/>
      <c r="Q492" s="7"/>
    </row>
    <row r="493" spans="3:17" s="2" customFormat="1" ht="15.75" x14ac:dyDescent="0.25">
      <c r="C493" s="1"/>
      <c r="D493" s="1"/>
      <c r="E493" s="1"/>
      <c r="F493" s="1"/>
      <c r="G493" s="15"/>
      <c r="H493" s="1"/>
      <c r="I493" s="23"/>
      <c r="J493" s="23"/>
      <c r="K493" s="14"/>
      <c r="L493" s="23"/>
      <c r="M493" s="14"/>
      <c r="N493" s="20"/>
      <c r="O493" s="20"/>
      <c r="P493" s="20"/>
      <c r="Q493" s="7"/>
    </row>
    <row r="494" spans="3:17" s="2" customFormat="1" ht="15.75" x14ac:dyDescent="0.25">
      <c r="C494" s="1"/>
      <c r="D494" s="1"/>
      <c r="E494" s="1"/>
      <c r="F494" s="1"/>
      <c r="G494" s="15"/>
      <c r="H494" s="1"/>
      <c r="I494" s="23"/>
      <c r="J494" s="23"/>
      <c r="K494" s="14"/>
      <c r="L494" s="23"/>
      <c r="M494" s="14"/>
      <c r="N494" s="20"/>
      <c r="O494" s="20"/>
      <c r="P494" s="20"/>
      <c r="Q494" s="7"/>
    </row>
    <row r="495" spans="3:17" s="2" customFormat="1" ht="15.75" x14ac:dyDescent="0.25">
      <c r="C495" s="1"/>
      <c r="D495" s="1"/>
      <c r="E495" s="1"/>
      <c r="F495" s="1"/>
      <c r="G495" s="15"/>
      <c r="H495" s="1"/>
      <c r="I495" s="23"/>
      <c r="J495" s="23"/>
      <c r="K495" s="14"/>
      <c r="L495" s="23"/>
      <c r="M495" s="14"/>
      <c r="N495" s="20"/>
      <c r="O495" s="20"/>
      <c r="P495" s="20"/>
      <c r="Q495" s="7"/>
    </row>
    <row r="496" spans="3:17" s="2" customFormat="1" ht="15.75" x14ac:dyDescent="0.25">
      <c r="C496" s="1"/>
      <c r="D496" s="1"/>
      <c r="E496" s="1"/>
      <c r="F496" s="1"/>
      <c r="G496" s="15"/>
      <c r="H496" s="1"/>
      <c r="I496" s="23"/>
      <c r="J496" s="23"/>
      <c r="K496" s="14"/>
      <c r="L496" s="23"/>
      <c r="M496" s="14"/>
      <c r="N496" s="20"/>
      <c r="O496" s="20"/>
      <c r="P496" s="20"/>
      <c r="Q496" s="7"/>
    </row>
    <row r="497" spans="3:17" s="2" customFormat="1" ht="15.75" x14ac:dyDescent="0.25">
      <c r="C497" s="1"/>
      <c r="D497" s="1"/>
      <c r="E497" s="1"/>
      <c r="F497" s="1"/>
      <c r="G497" s="15"/>
      <c r="H497" s="1"/>
      <c r="I497" s="23"/>
      <c r="J497" s="23"/>
      <c r="K497" s="14"/>
      <c r="L497" s="23"/>
      <c r="M497" s="14"/>
      <c r="N497" s="20"/>
      <c r="O497" s="20"/>
      <c r="P497" s="20"/>
      <c r="Q497" s="7"/>
    </row>
    <row r="498" spans="3:17" s="2" customFormat="1" ht="15.75" x14ac:dyDescent="0.25">
      <c r="C498" s="1"/>
      <c r="D498" s="1"/>
      <c r="E498" s="1"/>
      <c r="F498" s="1"/>
      <c r="G498" s="15"/>
      <c r="H498" s="1"/>
      <c r="I498" s="23"/>
      <c r="J498" s="23"/>
      <c r="K498" s="14"/>
      <c r="L498" s="23"/>
      <c r="M498" s="14"/>
      <c r="N498" s="20"/>
      <c r="O498" s="20"/>
      <c r="P498" s="20"/>
      <c r="Q498" s="7"/>
    </row>
    <row r="499" spans="3:17" s="2" customFormat="1" ht="15.75" x14ac:dyDescent="0.25">
      <c r="C499" s="1"/>
      <c r="D499" s="1"/>
      <c r="E499" s="1"/>
      <c r="F499" s="1"/>
      <c r="G499" s="15"/>
      <c r="H499" s="1"/>
      <c r="I499" s="23"/>
      <c r="J499" s="23"/>
      <c r="K499" s="14"/>
      <c r="L499" s="23"/>
      <c r="M499" s="14"/>
      <c r="N499" s="20"/>
      <c r="O499" s="20"/>
      <c r="P499" s="20"/>
      <c r="Q499" s="7"/>
    </row>
    <row r="500" spans="3:17" s="2" customFormat="1" ht="15.75" x14ac:dyDescent="0.25">
      <c r="C500" s="1"/>
      <c r="D500" s="1"/>
      <c r="E500" s="1"/>
      <c r="F500" s="1"/>
      <c r="G500" s="15"/>
      <c r="H500" s="1"/>
      <c r="I500" s="23"/>
      <c r="J500" s="23"/>
      <c r="K500" s="14"/>
      <c r="L500" s="23"/>
      <c r="M500" s="14"/>
      <c r="N500" s="20"/>
      <c r="O500" s="20"/>
      <c r="P500" s="20"/>
      <c r="Q500" s="7"/>
    </row>
    <row r="501" spans="3:17" s="2" customFormat="1" ht="15.75" x14ac:dyDescent="0.25">
      <c r="C501" s="1"/>
      <c r="D501" s="1"/>
      <c r="E501" s="1"/>
      <c r="F501" s="1"/>
      <c r="G501" s="15"/>
      <c r="H501" s="1"/>
      <c r="I501" s="23"/>
      <c r="J501" s="23"/>
      <c r="K501" s="14"/>
      <c r="L501" s="23"/>
      <c r="M501" s="14"/>
      <c r="N501" s="20"/>
      <c r="O501" s="20"/>
      <c r="P501" s="20"/>
      <c r="Q501" s="7"/>
    </row>
    <row r="502" spans="3:17" s="2" customFormat="1" ht="15.75" x14ac:dyDescent="0.25">
      <c r="C502" s="1"/>
      <c r="D502" s="1"/>
      <c r="E502" s="1"/>
      <c r="F502" s="1"/>
      <c r="G502" s="15"/>
      <c r="H502" s="1"/>
      <c r="I502" s="23"/>
      <c r="J502" s="23"/>
      <c r="K502" s="14"/>
      <c r="L502" s="23"/>
      <c r="M502" s="14"/>
      <c r="N502" s="20"/>
      <c r="O502" s="20"/>
      <c r="P502" s="20"/>
      <c r="Q502" s="7"/>
    </row>
    <row r="503" spans="3:17" s="2" customFormat="1" ht="15.75" x14ac:dyDescent="0.25">
      <c r="C503" s="1"/>
      <c r="D503" s="1"/>
      <c r="E503" s="1"/>
      <c r="F503" s="1"/>
      <c r="G503" s="15"/>
      <c r="H503" s="1"/>
      <c r="I503" s="23"/>
      <c r="J503" s="23"/>
      <c r="K503" s="14"/>
      <c r="L503" s="23"/>
      <c r="M503" s="14"/>
      <c r="N503" s="20"/>
      <c r="O503" s="20"/>
      <c r="P503" s="20"/>
      <c r="Q503" s="7"/>
    </row>
    <row r="504" spans="3:17" s="2" customFormat="1" ht="15.75" x14ac:dyDescent="0.25">
      <c r="C504" s="1"/>
      <c r="D504" s="1"/>
      <c r="E504" s="1"/>
      <c r="F504" s="1"/>
      <c r="G504" s="15"/>
      <c r="H504" s="1"/>
      <c r="I504" s="23"/>
      <c r="J504" s="23"/>
      <c r="K504" s="14"/>
      <c r="L504" s="23"/>
      <c r="M504" s="14"/>
      <c r="N504" s="20"/>
      <c r="O504" s="20"/>
      <c r="P504" s="20"/>
      <c r="Q504" s="7"/>
    </row>
    <row r="505" spans="3:17" s="2" customFormat="1" ht="15.75" x14ac:dyDescent="0.25">
      <c r="C505" s="1"/>
      <c r="D505" s="1"/>
      <c r="E505" s="1"/>
      <c r="F505" s="1"/>
      <c r="G505" s="15"/>
      <c r="H505" s="1"/>
      <c r="I505" s="23"/>
      <c r="J505" s="23"/>
      <c r="K505" s="14"/>
      <c r="L505" s="23"/>
      <c r="M505" s="14"/>
      <c r="N505" s="20"/>
      <c r="O505" s="20"/>
      <c r="P505" s="20"/>
      <c r="Q505" s="7"/>
    </row>
    <row r="506" spans="3:17" s="2" customFormat="1" ht="15.75" x14ac:dyDescent="0.25">
      <c r="C506" s="1"/>
      <c r="D506" s="1"/>
      <c r="E506" s="1"/>
      <c r="F506" s="1"/>
      <c r="G506" s="15"/>
      <c r="H506" s="1"/>
      <c r="I506" s="23"/>
      <c r="J506" s="23"/>
      <c r="K506" s="14"/>
      <c r="L506" s="23"/>
      <c r="M506" s="14"/>
      <c r="N506" s="20"/>
      <c r="O506" s="20"/>
      <c r="P506" s="20"/>
      <c r="Q506" s="7"/>
    </row>
    <row r="507" spans="3:17" s="2" customFormat="1" ht="15.75" x14ac:dyDescent="0.25">
      <c r="C507" s="1"/>
      <c r="D507" s="1"/>
      <c r="E507" s="1"/>
      <c r="F507" s="1"/>
      <c r="G507" s="15"/>
      <c r="H507" s="1"/>
      <c r="I507" s="23"/>
      <c r="J507" s="23"/>
      <c r="K507" s="14"/>
      <c r="L507" s="23"/>
      <c r="M507" s="14"/>
      <c r="N507" s="20"/>
      <c r="O507" s="20"/>
      <c r="P507" s="20"/>
      <c r="Q507" s="7"/>
    </row>
    <row r="508" spans="3:17" s="2" customFormat="1" ht="15.75" x14ac:dyDescent="0.25">
      <c r="C508" s="1"/>
      <c r="D508" s="1"/>
      <c r="E508" s="1"/>
      <c r="F508" s="1"/>
      <c r="G508" s="15"/>
      <c r="H508" s="1"/>
      <c r="I508" s="23"/>
      <c r="J508" s="23"/>
      <c r="K508" s="14"/>
      <c r="L508" s="23"/>
      <c r="M508" s="14"/>
      <c r="N508" s="20"/>
      <c r="O508" s="20"/>
      <c r="P508" s="20"/>
      <c r="Q508" s="7"/>
    </row>
    <row r="509" spans="3:17" s="2" customFormat="1" ht="15.75" x14ac:dyDescent="0.25">
      <c r="C509" s="1"/>
      <c r="D509" s="1"/>
      <c r="E509" s="1"/>
      <c r="F509" s="1"/>
      <c r="G509" s="15"/>
      <c r="H509" s="1"/>
      <c r="I509" s="23"/>
      <c r="J509" s="23"/>
      <c r="K509" s="14"/>
      <c r="L509" s="23"/>
      <c r="M509" s="14"/>
      <c r="N509" s="20"/>
      <c r="O509" s="20"/>
      <c r="P509" s="20"/>
      <c r="Q509" s="7"/>
    </row>
    <row r="510" spans="3:17" s="2" customFormat="1" ht="15.75" x14ac:dyDescent="0.25">
      <c r="C510" s="1"/>
      <c r="D510" s="1"/>
      <c r="E510" s="1"/>
      <c r="F510" s="1"/>
      <c r="G510" s="15"/>
      <c r="H510" s="1"/>
      <c r="I510" s="23"/>
      <c r="J510" s="23"/>
      <c r="K510" s="14"/>
      <c r="L510" s="23"/>
      <c r="M510" s="14"/>
      <c r="N510" s="20"/>
      <c r="O510" s="20"/>
      <c r="P510" s="20"/>
      <c r="Q510" s="7"/>
    </row>
    <row r="511" spans="3:17" s="2" customFormat="1" ht="15.75" x14ac:dyDescent="0.25">
      <c r="C511" s="1"/>
      <c r="D511" s="1"/>
      <c r="E511" s="1"/>
      <c r="F511" s="1"/>
      <c r="G511" s="15"/>
      <c r="H511" s="1"/>
      <c r="I511" s="23"/>
      <c r="J511" s="23"/>
      <c r="K511" s="14"/>
      <c r="L511" s="23"/>
      <c r="M511" s="14"/>
      <c r="N511" s="20"/>
      <c r="O511" s="20"/>
      <c r="P511" s="20"/>
      <c r="Q511" s="7"/>
    </row>
    <row r="512" spans="3:17" s="2" customFormat="1" ht="15.75" x14ac:dyDescent="0.25">
      <c r="C512" s="1"/>
      <c r="D512" s="1"/>
      <c r="E512" s="1"/>
      <c r="F512" s="1"/>
      <c r="G512" s="15"/>
      <c r="H512" s="1"/>
      <c r="I512" s="23"/>
      <c r="J512" s="23"/>
      <c r="K512" s="14"/>
      <c r="L512" s="23"/>
      <c r="M512" s="14"/>
      <c r="N512" s="20"/>
      <c r="O512" s="20"/>
      <c r="P512" s="20"/>
      <c r="Q512" s="7"/>
    </row>
    <row r="513" spans="3:17" s="2" customFormat="1" ht="15.75" x14ac:dyDescent="0.25">
      <c r="C513" s="1"/>
      <c r="D513" s="1"/>
      <c r="E513" s="1"/>
      <c r="F513" s="1"/>
      <c r="G513" s="15"/>
      <c r="H513" s="1"/>
      <c r="I513" s="23"/>
      <c r="J513" s="23"/>
      <c r="K513" s="14"/>
      <c r="L513" s="23"/>
      <c r="M513" s="14"/>
      <c r="N513" s="20"/>
      <c r="O513" s="20"/>
      <c r="P513" s="20"/>
      <c r="Q513" s="7"/>
    </row>
    <row r="514" spans="3:17" s="2" customFormat="1" ht="15.75" x14ac:dyDescent="0.25">
      <c r="C514" s="1"/>
      <c r="D514" s="1"/>
      <c r="E514" s="1"/>
      <c r="F514" s="1"/>
      <c r="G514" s="15"/>
      <c r="H514" s="1"/>
      <c r="I514" s="23"/>
      <c r="J514" s="23"/>
      <c r="K514" s="14"/>
      <c r="L514" s="23"/>
      <c r="M514" s="14"/>
      <c r="N514" s="20"/>
      <c r="O514" s="20"/>
      <c r="P514" s="20"/>
      <c r="Q514" s="7"/>
    </row>
    <row r="515" spans="3:17" s="2" customFormat="1" ht="15.75" x14ac:dyDescent="0.25">
      <c r="C515" s="1"/>
      <c r="D515" s="1"/>
      <c r="E515" s="1"/>
      <c r="F515" s="1"/>
      <c r="G515" s="15"/>
      <c r="H515" s="1"/>
      <c r="I515" s="23"/>
      <c r="J515" s="23"/>
      <c r="K515" s="14"/>
      <c r="L515" s="23"/>
      <c r="M515" s="14"/>
      <c r="N515" s="20"/>
      <c r="O515" s="20"/>
      <c r="P515" s="20"/>
      <c r="Q515" s="7"/>
    </row>
    <row r="516" spans="3:17" s="2" customFormat="1" ht="15.75" x14ac:dyDescent="0.25">
      <c r="C516" s="1"/>
      <c r="D516" s="1"/>
      <c r="E516" s="1"/>
      <c r="F516" s="1"/>
      <c r="G516" s="15"/>
      <c r="H516" s="1"/>
      <c r="I516" s="23"/>
      <c r="J516" s="23"/>
      <c r="K516" s="14"/>
      <c r="L516" s="23"/>
      <c r="M516" s="14"/>
      <c r="N516" s="20"/>
      <c r="O516" s="20"/>
      <c r="P516" s="20"/>
      <c r="Q516" s="7"/>
    </row>
    <row r="517" spans="3:17" s="2" customFormat="1" ht="15.75" x14ac:dyDescent="0.25">
      <c r="C517" s="1"/>
      <c r="D517" s="1"/>
      <c r="E517" s="1"/>
      <c r="F517" s="1"/>
      <c r="G517" s="15"/>
      <c r="H517" s="1"/>
      <c r="I517" s="23"/>
      <c r="J517" s="23"/>
      <c r="K517" s="14"/>
      <c r="L517" s="23"/>
      <c r="M517" s="14"/>
      <c r="N517" s="20"/>
      <c r="O517" s="20"/>
      <c r="P517" s="20"/>
      <c r="Q517" s="7"/>
    </row>
    <row r="518" spans="3:17" s="2" customFormat="1" ht="15.75" x14ac:dyDescent="0.25">
      <c r="C518" s="1"/>
      <c r="D518" s="1"/>
      <c r="E518" s="1"/>
      <c r="F518" s="1"/>
      <c r="G518" s="15"/>
      <c r="H518" s="1"/>
      <c r="I518" s="23"/>
      <c r="J518" s="23"/>
      <c r="K518" s="14"/>
      <c r="L518" s="23"/>
      <c r="M518" s="14"/>
      <c r="N518" s="20"/>
      <c r="O518" s="20"/>
      <c r="P518" s="20"/>
      <c r="Q518" s="7"/>
    </row>
    <row r="519" spans="3:17" s="2" customFormat="1" ht="15.75" x14ac:dyDescent="0.25">
      <c r="C519" s="1"/>
      <c r="D519" s="1"/>
      <c r="E519" s="1"/>
      <c r="F519" s="1"/>
      <c r="G519" s="15"/>
      <c r="H519" s="1"/>
      <c r="I519" s="23"/>
      <c r="J519" s="23"/>
      <c r="K519" s="14"/>
      <c r="L519" s="23"/>
      <c r="M519" s="14"/>
      <c r="N519" s="20"/>
      <c r="O519" s="20"/>
      <c r="P519" s="20"/>
      <c r="Q519" s="7"/>
    </row>
    <row r="520" spans="3:17" s="2" customFormat="1" ht="15.75" x14ac:dyDescent="0.25">
      <c r="C520" s="1"/>
      <c r="D520" s="1"/>
      <c r="E520" s="1"/>
      <c r="F520" s="1"/>
      <c r="G520" s="15"/>
      <c r="H520" s="1"/>
      <c r="I520" s="23"/>
      <c r="J520" s="23"/>
      <c r="K520" s="14"/>
      <c r="L520" s="23"/>
      <c r="M520" s="14"/>
      <c r="N520" s="20"/>
      <c r="O520" s="20"/>
      <c r="P520" s="20"/>
      <c r="Q520" s="7"/>
    </row>
    <row r="521" spans="3:17" s="2" customFormat="1" ht="15.75" x14ac:dyDescent="0.25">
      <c r="C521" s="1"/>
      <c r="D521" s="1"/>
      <c r="E521" s="1"/>
      <c r="F521" s="1"/>
      <c r="G521" s="15"/>
      <c r="H521" s="1"/>
      <c r="I521" s="23"/>
      <c r="J521" s="23"/>
      <c r="K521" s="14"/>
      <c r="L521" s="23"/>
      <c r="M521" s="14"/>
      <c r="N521" s="20"/>
      <c r="O521" s="20"/>
      <c r="P521" s="20"/>
      <c r="Q521" s="7"/>
    </row>
    <row r="522" spans="3:17" s="2" customFormat="1" ht="15.75" x14ac:dyDescent="0.25">
      <c r="C522" s="1"/>
      <c r="D522" s="1"/>
      <c r="E522" s="1"/>
      <c r="F522" s="1"/>
      <c r="G522" s="15"/>
      <c r="H522" s="1"/>
      <c r="I522" s="23"/>
      <c r="J522" s="23"/>
      <c r="K522" s="14"/>
      <c r="L522" s="23"/>
      <c r="M522" s="14"/>
      <c r="N522" s="20"/>
      <c r="O522" s="20"/>
      <c r="P522" s="20"/>
      <c r="Q522" s="7"/>
    </row>
    <row r="523" spans="3:17" s="2" customFormat="1" ht="15.75" x14ac:dyDescent="0.25">
      <c r="C523" s="1"/>
      <c r="D523" s="1"/>
      <c r="E523" s="1"/>
      <c r="F523" s="1"/>
      <c r="G523" s="15"/>
      <c r="H523" s="1"/>
      <c r="I523" s="23"/>
      <c r="J523" s="23"/>
      <c r="K523" s="14"/>
      <c r="L523" s="23"/>
      <c r="M523" s="14"/>
      <c r="N523" s="20"/>
      <c r="O523" s="20"/>
      <c r="P523" s="20"/>
      <c r="Q523" s="7"/>
    </row>
    <row r="524" spans="3:17" s="2" customFormat="1" ht="15.75" x14ac:dyDescent="0.25">
      <c r="C524" s="1"/>
      <c r="D524" s="1"/>
      <c r="E524" s="1"/>
      <c r="F524" s="1"/>
      <c r="G524" s="15"/>
      <c r="H524" s="1"/>
      <c r="I524" s="23"/>
      <c r="J524" s="23"/>
      <c r="K524" s="14"/>
      <c r="L524" s="23"/>
      <c r="M524" s="14"/>
      <c r="N524" s="20"/>
      <c r="O524" s="20"/>
      <c r="P524" s="20"/>
      <c r="Q524" s="7"/>
    </row>
    <row r="525" spans="3:17" s="2" customFormat="1" ht="15.75" x14ac:dyDescent="0.25">
      <c r="C525" s="1"/>
      <c r="D525" s="1"/>
      <c r="E525" s="1"/>
      <c r="F525" s="1"/>
      <c r="G525" s="15"/>
      <c r="H525" s="1"/>
      <c r="I525" s="23"/>
      <c r="J525" s="23"/>
      <c r="K525" s="14"/>
      <c r="L525" s="23"/>
      <c r="M525" s="14"/>
      <c r="N525" s="20"/>
      <c r="O525" s="20"/>
      <c r="P525" s="20"/>
      <c r="Q525" s="7"/>
    </row>
    <row r="526" spans="3:17" s="2" customFormat="1" ht="15.75" x14ac:dyDescent="0.25">
      <c r="C526" s="1"/>
      <c r="D526" s="1"/>
      <c r="E526" s="1"/>
      <c r="F526" s="1"/>
      <c r="G526" s="15"/>
      <c r="H526" s="1"/>
      <c r="I526" s="23"/>
      <c r="J526" s="23"/>
      <c r="K526" s="14"/>
      <c r="L526" s="23"/>
      <c r="M526" s="14"/>
      <c r="N526" s="20"/>
      <c r="O526" s="20"/>
      <c r="P526" s="20"/>
      <c r="Q526" s="7"/>
    </row>
    <row r="527" spans="3:17" s="2" customFormat="1" ht="15.75" x14ac:dyDescent="0.25">
      <c r="C527" s="1"/>
      <c r="D527" s="1"/>
      <c r="E527" s="1"/>
      <c r="F527" s="1"/>
      <c r="G527" s="15"/>
      <c r="H527" s="1"/>
      <c r="I527" s="23"/>
      <c r="J527" s="23"/>
      <c r="K527" s="14"/>
      <c r="L527" s="23"/>
      <c r="M527" s="14"/>
      <c r="N527" s="20"/>
      <c r="O527" s="20"/>
      <c r="P527" s="20"/>
      <c r="Q527" s="7"/>
    </row>
    <row r="528" spans="3:17" s="2" customFormat="1" ht="15.75" x14ac:dyDescent="0.25">
      <c r="C528" s="1"/>
      <c r="D528" s="1"/>
      <c r="E528" s="1"/>
      <c r="F528" s="1"/>
      <c r="G528" s="15"/>
      <c r="H528" s="1"/>
      <c r="I528" s="23"/>
      <c r="J528" s="23"/>
      <c r="K528" s="14"/>
      <c r="L528" s="23"/>
      <c r="M528" s="14"/>
      <c r="N528" s="20"/>
      <c r="O528" s="20"/>
      <c r="P528" s="20"/>
      <c r="Q528" s="7"/>
    </row>
    <row r="529" spans="3:17" s="2" customFormat="1" ht="15.75" x14ac:dyDescent="0.25">
      <c r="C529" s="1"/>
      <c r="D529" s="1"/>
      <c r="E529" s="1"/>
      <c r="F529" s="1"/>
      <c r="G529" s="15"/>
      <c r="H529" s="1"/>
      <c r="I529" s="23"/>
      <c r="J529" s="23"/>
      <c r="K529" s="14"/>
      <c r="L529" s="23"/>
      <c r="M529" s="14"/>
      <c r="N529" s="20"/>
      <c r="O529" s="20"/>
      <c r="P529" s="20"/>
      <c r="Q529" s="7"/>
    </row>
    <row r="530" spans="3:17" s="2" customFormat="1" ht="15.75" x14ac:dyDescent="0.25">
      <c r="C530" s="1"/>
      <c r="D530" s="1"/>
      <c r="E530" s="1"/>
      <c r="F530" s="1"/>
      <c r="G530" s="15"/>
      <c r="H530" s="1"/>
      <c r="I530" s="23"/>
      <c r="J530" s="23"/>
      <c r="K530" s="14"/>
      <c r="L530" s="23"/>
      <c r="M530" s="14"/>
      <c r="N530" s="20"/>
      <c r="O530" s="20"/>
      <c r="P530" s="20"/>
      <c r="Q530" s="7"/>
    </row>
    <row r="531" spans="3:17" s="2" customFormat="1" ht="15.75" x14ac:dyDescent="0.25">
      <c r="C531" s="1"/>
      <c r="D531" s="1"/>
      <c r="E531" s="1"/>
      <c r="F531" s="1"/>
      <c r="G531" s="15"/>
      <c r="H531" s="1"/>
      <c r="I531" s="23"/>
      <c r="J531" s="23"/>
      <c r="K531" s="14"/>
      <c r="L531" s="23"/>
      <c r="M531" s="14"/>
      <c r="N531" s="20"/>
      <c r="O531" s="20"/>
      <c r="P531" s="20"/>
      <c r="Q531" s="7"/>
    </row>
    <row r="532" spans="3:17" s="2" customFormat="1" ht="15.75" x14ac:dyDescent="0.25">
      <c r="C532" s="1"/>
      <c r="D532" s="1"/>
      <c r="E532" s="1"/>
      <c r="F532" s="1"/>
      <c r="G532" s="15"/>
      <c r="H532" s="1"/>
      <c r="I532" s="23"/>
      <c r="J532" s="23"/>
      <c r="K532" s="14"/>
      <c r="L532" s="23"/>
      <c r="M532" s="14"/>
      <c r="N532" s="20"/>
      <c r="O532" s="20"/>
      <c r="P532" s="20"/>
      <c r="Q532" s="7"/>
    </row>
    <row r="533" spans="3:17" s="2" customFormat="1" ht="15.75" x14ac:dyDescent="0.25">
      <c r="C533" s="1"/>
      <c r="D533" s="1"/>
      <c r="E533" s="1"/>
      <c r="F533" s="1"/>
      <c r="G533" s="15"/>
      <c r="H533" s="1"/>
      <c r="I533" s="23"/>
      <c r="J533" s="23"/>
      <c r="K533" s="14"/>
      <c r="L533" s="23"/>
      <c r="M533" s="14"/>
      <c r="N533" s="20"/>
      <c r="O533" s="20"/>
      <c r="P533" s="20"/>
      <c r="Q533" s="7"/>
    </row>
    <row r="534" spans="3:17" s="2" customFormat="1" ht="15.75" x14ac:dyDescent="0.25">
      <c r="C534" s="1"/>
      <c r="D534" s="1"/>
      <c r="E534" s="1"/>
      <c r="F534" s="1"/>
      <c r="G534" s="15"/>
      <c r="H534" s="1"/>
      <c r="I534" s="23"/>
      <c r="J534" s="23"/>
      <c r="K534" s="14"/>
      <c r="L534" s="23"/>
      <c r="M534" s="14"/>
      <c r="N534" s="20"/>
      <c r="O534" s="20"/>
      <c r="P534" s="20"/>
      <c r="Q534" s="7"/>
    </row>
    <row r="535" spans="3:17" s="2" customFormat="1" ht="15.75" x14ac:dyDescent="0.25">
      <c r="C535" s="1"/>
      <c r="D535" s="1"/>
      <c r="E535" s="1"/>
      <c r="F535" s="1"/>
      <c r="G535" s="15"/>
      <c r="H535" s="1"/>
      <c r="I535" s="23"/>
      <c r="J535" s="23"/>
      <c r="K535" s="14"/>
      <c r="L535" s="23"/>
      <c r="M535" s="14"/>
      <c r="N535" s="20"/>
      <c r="O535" s="20"/>
      <c r="P535" s="20"/>
      <c r="Q535" s="7"/>
    </row>
    <row r="536" spans="3:17" s="2" customFormat="1" ht="15.75" x14ac:dyDescent="0.25">
      <c r="C536" s="1"/>
      <c r="D536" s="1"/>
      <c r="E536" s="1"/>
      <c r="F536" s="1"/>
      <c r="G536" s="15"/>
      <c r="H536" s="1"/>
      <c r="I536" s="23"/>
      <c r="J536" s="23"/>
      <c r="K536" s="14"/>
      <c r="L536" s="23"/>
      <c r="M536" s="14"/>
      <c r="N536" s="20"/>
      <c r="O536" s="20"/>
      <c r="P536" s="20"/>
      <c r="Q536" s="7"/>
    </row>
    <row r="537" spans="3:17" s="2" customFormat="1" ht="15.75" x14ac:dyDescent="0.25">
      <c r="C537" s="1"/>
      <c r="D537" s="1"/>
      <c r="E537" s="1"/>
      <c r="F537" s="1"/>
      <c r="G537" s="15"/>
      <c r="H537" s="1"/>
      <c r="I537" s="23"/>
      <c r="J537" s="23"/>
      <c r="K537" s="14"/>
      <c r="L537" s="23"/>
      <c r="M537" s="14"/>
      <c r="N537" s="20"/>
      <c r="O537" s="20"/>
      <c r="P537" s="20"/>
      <c r="Q537" s="7"/>
    </row>
    <row r="538" spans="3:17" s="2" customFormat="1" ht="15.75" x14ac:dyDescent="0.25">
      <c r="C538" s="1"/>
      <c r="D538" s="1"/>
      <c r="E538" s="1"/>
      <c r="F538" s="1"/>
      <c r="G538" s="15"/>
      <c r="H538" s="1"/>
      <c r="I538" s="23"/>
      <c r="J538" s="23"/>
      <c r="K538" s="14"/>
      <c r="L538" s="23"/>
      <c r="M538" s="14"/>
      <c r="N538" s="20"/>
      <c r="O538" s="20"/>
      <c r="P538" s="20"/>
      <c r="Q538" s="7"/>
    </row>
    <row r="539" spans="3:17" s="2" customFormat="1" ht="15.75" x14ac:dyDescent="0.25">
      <c r="C539" s="1"/>
      <c r="D539" s="1"/>
      <c r="E539" s="1"/>
      <c r="F539" s="1"/>
      <c r="G539" s="15"/>
      <c r="H539" s="1"/>
      <c r="I539" s="23"/>
      <c r="J539" s="23"/>
      <c r="K539" s="14"/>
      <c r="L539" s="23"/>
      <c r="M539" s="14"/>
      <c r="N539" s="20"/>
      <c r="O539" s="20"/>
      <c r="P539" s="20"/>
      <c r="Q539" s="7"/>
    </row>
    <row r="540" spans="3:17" s="2" customFormat="1" ht="15.75" x14ac:dyDescent="0.25">
      <c r="C540" s="1"/>
      <c r="D540" s="1"/>
      <c r="E540" s="1"/>
      <c r="F540" s="1"/>
      <c r="G540" s="15"/>
      <c r="H540" s="1"/>
      <c r="I540" s="23"/>
      <c r="J540" s="23"/>
      <c r="K540" s="14"/>
      <c r="L540" s="23"/>
      <c r="M540" s="14"/>
      <c r="N540" s="20"/>
      <c r="O540" s="20"/>
      <c r="P540" s="20"/>
      <c r="Q540" s="7"/>
    </row>
    <row r="541" spans="3:17" s="2" customFormat="1" ht="15.75" x14ac:dyDescent="0.25">
      <c r="C541" s="1"/>
      <c r="D541" s="1"/>
      <c r="E541" s="1"/>
      <c r="F541" s="1"/>
      <c r="G541" s="15"/>
      <c r="H541" s="1"/>
      <c r="I541" s="23"/>
      <c r="J541" s="23"/>
      <c r="K541" s="14"/>
      <c r="L541" s="23"/>
      <c r="M541" s="14"/>
      <c r="N541" s="20"/>
      <c r="O541" s="20"/>
      <c r="P541" s="20"/>
      <c r="Q541" s="7"/>
    </row>
    <row r="542" spans="3:17" s="2" customFormat="1" ht="15.75" x14ac:dyDescent="0.25">
      <c r="C542" s="1"/>
      <c r="D542" s="1"/>
      <c r="E542" s="1"/>
      <c r="F542" s="1"/>
      <c r="G542" s="15"/>
      <c r="H542" s="1"/>
      <c r="I542" s="23"/>
      <c r="J542" s="23"/>
      <c r="K542" s="14"/>
      <c r="L542" s="23"/>
      <c r="M542" s="14"/>
      <c r="N542" s="20"/>
      <c r="O542" s="20"/>
      <c r="P542" s="20"/>
      <c r="Q542" s="7"/>
    </row>
    <row r="543" spans="3:17" s="2" customFormat="1" ht="15.75" x14ac:dyDescent="0.25">
      <c r="C543" s="1"/>
      <c r="D543" s="1"/>
      <c r="E543" s="1"/>
      <c r="F543" s="1"/>
      <c r="G543" s="15"/>
      <c r="H543" s="1"/>
      <c r="I543" s="23"/>
      <c r="J543" s="23"/>
      <c r="K543" s="14"/>
      <c r="L543" s="23"/>
      <c r="M543" s="14"/>
      <c r="N543" s="20"/>
      <c r="O543" s="20"/>
      <c r="P543" s="20"/>
      <c r="Q543" s="7"/>
    </row>
    <row r="544" spans="3:17" s="2" customFormat="1" ht="15.75" x14ac:dyDescent="0.25">
      <c r="C544" s="1"/>
      <c r="D544" s="1"/>
      <c r="E544" s="1"/>
      <c r="F544" s="1"/>
      <c r="G544" s="15"/>
      <c r="H544" s="1"/>
      <c r="I544" s="23"/>
      <c r="J544" s="23"/>
      <c r="K544" s="14"/>
      <c r="L544" s="23"/>
      <c r="M544" s="14"/>
      <c r="N544" s="20"/>
      <c r="O544" s="20"/>
      <c r="P544" s="20"/>
      <c r="Q544" s="7"/>
    </row>
    <row r="545" spans="3:17" s="2" customFormat="1" ht="15.75" x14ac:dyDescent="0.25">
      <c r="C545" s="1"/>
      <c r="D545" s="1"/>
      <c r="E545" s="1"/>
      <c r="F545" s="1"/>
      <c r="G545" s="15"/>
      <c r="H545" s="1"/>
      <c r="I545" s="23"/>
      <c r="J545" s="23"/>
      <c r="K545" s="14"/>
      <c r="L545" s="23"/>
      <c r="M545" s="14"/>
      <c r="N545" s="20"/>
      <c r="O545" s="20"/>
      <c r="P545" s="20"/>
      <c r="Q545" s="7"/>
    </row>
    <row r="546" spans="3:17" s="2" customFormat="1" ht="15.75" x14ac:dyDescent="0.25">
      <c r="C546" s="1"/>
      <c r="D546" s="1"/>
      <c r="E546" s="1"/>
      <c r="F546" s="1"/>
      <c r="G546" s="15"/>
      <c r="H546" s="1"/>
      <c r="I546" s="23"/>
      <c r="J546" s="23"/>
      <c r="K546" s="14"/>
      <c r="L546" s="23"/>
      <c r="M546" s="14"/>
      <c r="N546" s="20"/>
      <c r="O546" s="20"/>
      <c r="P546" s="20"/>
      <c r="Q546" s="7"/>
    </row>
    <row r="547" spans="3:17" s="2" customFormat="1" ht="15.75" x14ac:dyDescent="0.25">
      <c r="C547" s="1"/>
      <c r="D547" s="1"/>
      <c r="E547" s="1"/>
      <c r="F547" s="1"/>
      <c r="G547" s="15"/>
      <c r="H547" s="1"/>
      <c r="I547" s="23"/>
      <c r="J547" s="23"/>
      <c r="K547" s="14"/>
      <c r="L547" s="23"/>
      <c r="M547" s="14"/>
      <c r="N547" s="20"/>
      <c r="O547" s="20"/>
      <c r="P547" s="20"/>
      <c r="Q547" s="7"/>
    </row>
    <row r="548" spans="3:17" s="2" customFormat="1" ht="15.75" x14ac:dyDescent="0.25">
      <c r="C548" s="1"/>
      <c r="D548" s="1"/>
      <c r="E548" s="1"/>
      <c r="F548" s="1"/>
      <c r="G548" s="15"/>
      <c r="H548" s="1"/>
      <c r="I548" s="23"/>
      <c r="J548" s="23"/>
      <c r="K548" s="14"/>
      <c r="L548" s="23"/>
      <c r="M548" s="14"/>
      <c r="N548" s="20"/>
      <c r="O548" s="20"/>
      <c r="P548" s="20"/>
      <c r="Q548" s="7"/>
    </row>
    <row r="549" spans="3:17" s="2" customFormat="1" ht="15.75" x14ac:dyDescent="0.25">
      <c r="C549" s="1"/>
      <c r="D549" s="1"/>
      <c r="E549" s="1"/>
      <c r="F549" s="1"/>
      <c r="G549" s="15"/>
      <c r="H549" s="1"/>
      <c r="I549" s="23"/>
      <c r="J549" s="23"/>
      <c r="K549" s="14"/>
      <c r="L549" s="23"/>
      <c r="M549" s="14"/>
      <c r="N549" s="20"/>
      <c r="O549" s="20"/>
      <c r="P549" s="20"/>
      <c r="Q549" s="7"/>
    </row>
    <row r="550" spans="3:17" s="2" customFormat="1" ht="15.75" x14ac:dyDescent="0.25">
      <c r="C550" s="1"/>
      <c r="D550" s="1"/>
      <c r="E550" s="1"/>
      <c r="F550" s="1"/>
      <c r="G550" s="15"/>
      <c r="H550" s="1"/>
      <c r="I550" s="23"/>
      <c r="J550" s="23"/>
      <c r="K550" s="14"/>
      <c r="L550" s="23"/>
      <c r="M550" s="14"/>
      <c r="N550" s="20"/>
      <c r="O550" s="20"/>
      <c r="P550" s="20"/>
      <c r="Q550" s="7"/>
    </row>
    <row r="551" spans="3:17" s="2" customFormat="1" ht="15.75" x14ac:dyDescent="0.25">
      <c r="C551" s="1"/>
      <c r="D551" s="1"/>
      <c r="E551" s="1"/>
      <c r="F551" s="1"/>
      <c r="G551" s="15"/>
      <c r="H551" s="1"/>
      <c r="I551" s="23"/>
      <c r="J551" s="23"/>
      <c r="K551" s="14"/>
      <c r="L551" s="23"/>
      <c r="M551" s="14"/>
      <c r="N551" s="20"/>
      <c r="O551" s="20"/>
      <c r="P551" s="20"/>
      <c r="Q551" s="7"/>
    </row>
    <row r="552" spans="3:17" s="2" customFormat="1" ht="15.75" x14ac:dyDescent="0.25">
      <c r="C552" s="1"/>
      <c r="D552" s="1"/>
      <c r="E552" s="1"/>
      <c r="F552" s="1"/>
      <c r="G552" s="15"/>
      <c r="H552" s="1"/>
      <c r="I552" s="23"/>
      <c r="J552" s="23"/>
      <c r="K552" s="14"/>
      <c r="L552" s="23"/>
      <c r="M552" s="14"/>
      <c r="N552" s="20"/>
      <c r="O552" s="20"/>
      <c r="P552" s="20"/>
      <c r="Q552" s="7"/>
    </row>
    <row r="553" spans="3:17" s="2" customFormat="1" ht="15.75" x14ac:dyDescent="0.25">
      <c r="C553" s="1"/>
      <c r="D553" s="1"/>
      <c r="E553" s="1"/>
      <c r="F553" s="1"/>
      <c r="G553" s="15"/>
      <c r="H553" s="1"/>
      <c r="I553" s="23"/>
      <c r="J553" s="23"/>
      <c r="K553" s="14"/>
      <c r="L553" s="23"/>
      <c r="M553" s="14"/>
      <c r="N553" s="20"/>
      <c r="O553" s="20"/>
      <c r="P553" s="20"/>
      <c r="Q553" s="7"/>
    </row>
    <row r="554" spans="3:17" s="2" customFormat="1" ht="15.75" x14ac:dyDescent="0.25">
      <c r="C554" s="1"/>
      <c r="D554" s="1"/>
      <c r="E554" s="1"/>
      <c r="F554" s="1"/>
      <c r="G554" s="15"/>
      <c r="H554" s="1"/>
      <c r="I554" s="23"/>
      <c r="J554" s="23"/>
      <c r="K554" s="14"/>
      <c r="L554" s="23"/>
      <c r="M554" s="14"/>
      <c r="N554" s="20"/>
      <c r="O554" s="20"/>
      <c r="P554" s="20"/>
      <c r="Q554" s="7"/>
    </row>
    <row r="555" spans="3:17" s="2" customFormat="1" ht="15.75" x14ac:dyDescent="0.25">
      <c r="C555" s="1"/>
      <c r="D555" s="1"/>
      <c r="E555" s="1"/>
      <c r="F555" s="1"/>
      <c r="G555" s="15"/>
      <c r="H555" s="1"/>
      <c r="I555" s="23"/>
      <c r="J555" s="23"/>
      <c r="K555" s="14"/>
      <c r="L555" s="23"/>
      <c r="M555" s="14"/>
      <c r="N555" s="20"/>
      <c r="O555" s="20"/>
      <c r="P555" s="20"/>
      <c r="Q555" s="7"/>
    </row>
    <row r="556" spans="3:17" s="2" customFormat="1" ht="15.75" x14ac:dyDescent="0.25">
      <c r="C556" s="1"/>
      <c r="D556" s="1"/>
      <c r="E556" s="1"/>
      <c r="F556" s="1"/>
      <c r="G556" s="15"/>
      <c r="H556" s="1"/>
      <c r="I556" s="23"/>
      <c r="J556" s="23"/>
      <c r="K556" s="14"/>
      <c r="L556" s="23"/>
      <c r="M556" s="14"/>
      <c r="N556" s="20"/>
      <c r="O556" s="20"/>
      <c r="P556" s="20"/>
      <c r="Q556" s="7"/>
    </row>
    <row r="557" spans="3:17" s="2" customFormat="1" ht="15.75" x14ac:dyDescent="0.25">
      <c r="C557" s="1"/>
      <c r="D557" s="1"/>
      <c r="E557" s="1"/>
      <c r="F557" s="1"/>
      <c r="G557" s="15"/>
      <c r="H557" s="1"/>
      <c r="I557" s="23"/>
      <c r="J557" s="23"/>
      <c r="K557" s="14"/>
      <c r="L557" s="23"/>
      <c r="M557" s="14"/>
      <c r="N557" s="20"/>
      <c r="O557" s="20"/>
      <c r="P557" s="20"/>
      <c r="Q557" s="7"/>
    </row>
    <row r="558" spans="3:17" s="2" customFormat="1" ht="15.75" x14ac:dyDescent="0.25">
      <c r="C558" s="1"/>
      <c r="D558" s="1"/>
      <c r="E558" s="1"/>
      <c r="F558" s="1"/>
      <c r="G558" s="15"/>
      <c r="H558" s="1"/>
      <c r="I558" s="23"/>
      <c r="J558" s="23"/>
      <c r="K558" s="14"/>
      <c r="L558" s="23"/>
      <c r="M558" s="14"/>
      <c r="N558" s="20"/>
      <c r="O558" s="20"/>
      <c r="P558" s="20"/>
      <c r="Q558" s="7"/>
    </row>
    <row r="559" spans="3:17" s="2" customFormat="1" ht="15.75" x14ac:dyDescent="0.25">
      <c r="C559" s="1"/>
      <c r="D559" s="1"/>
      <c r="E559" s="1"/>
      <c r="F559" s="1"/>
      <c r="G559" s="15"/>
      <c r="H559" s="1"/>
      <c r="I559" s="23"/>
      <c r="J559" s="23"/>
      <c r="K559" s="14"/>
      <c r="L559" s="23"/>
      <c r="M559" s="14"/>
      <c r="N559" s="20"/>
      <c r="O559" s="20"/>
      <c r="P559" s="20"/>
      <c r="Q559" s="7"/>
    </row>
    <row r="560" spans="3:17" s="2" customFormat="1" ht="15.75" x14ac:dyDescent="0.25">
      <c r="C560" s="1"/>
      <c r="D560" s="1"/>
      <c r="E560" s="1"/>
      <c r="F560" s="1"/>
      <c r="G560" s="15"/>
      <c r="H560" s="1"/>
      <c r="I560" s="23"/>
      <c r="J560" s="23"/>
      <c r="K560" s="14"/>
      <c r="L560" s="23"/>
      <c r="M560" s="14"/>
      <c r="N560" s="20"/>
      <c r="O560" s="20"/>
      <c r="P560" s="20"/>
      <c r="Q560" s="7"/>
    </row>
    <row r="561" spans="3:17" s="2" customFormat="1" ht="15.75" x14ac:dyDescent="0.25">
      <c r="C561" s="1"/>
      <c r="D561" s="1"/>
      <c r="E561" s="1"/>
      <c r="F561" s="1"/>
      <c r="G561" s="15"/>
      <c r="H561" s="1"/>
      <c r="I561" s="23"/>
      <c r="J561" s="23"/>
      <c r="K561" s="14"/>
      <c r="L561" s="23"/>
      <c r="M561" s="14"/>
      <c r="N561" s="20"/>
      <c r="O561" s="20"/>
      <c r="P561" s="20"/>
      <c r="Q561" s="7"/>
    </row>
    <row r="562" spans="3:17" s="2" customFormat="1" ht="15.75" x14ac:dyDescent="0.25">
      <c r="C562" s="1"/>
      <c r="D562" s="1"/>
      <c r="E562" s="1"/>
      <c r="F562" s="1"/>
      <c r="G562" s="15"/>
      <c r="H562" s="1"/>
      <c r="I562" s="23"/>
      <c r="J562" s="23"/>
      <c r="K562" s="14"/>
      <c r="L562" s="23"/>
      <c r="M562" s="14"/>
      <c r="N562" s="20"/>
      <c r="O562" s="20"/>
      <c r="P562" s="20"/>
      <c r="Q562" s="7"/>
    </row>
    <row r="563" spans="3:17" s="2" customFormat="1" ht="15.75" x14ac:dyDescent="0.25">
      <c r="C563" s="1"/>
      <c r="D563" s="1"/>
      <c r="E563" s="1"/>
      <c r="F563" s="1"/>
      <c r="G563" s="15"/>
      <c r="H563" s="1"/>
      <c r="I563" s="23"/>
      <c r="J563" s="23"/>
      <c r="K563" s="14"/>
      <c r="L563" s="23"/>
      <c r="M563" s="14"/>
      <c r="N563" s="20"/>
      <c r="O563" s="20"/>
      <c r="P563" s="20"/>
      <c r="Q563" s="7"/>
    </row>
    <row r="564" spans="3:17" s="2" customFormat="1" ht="15.75" x14ac:dyDescent="0.25">
      <c r="C564" s="1"/>
      <c r="D564" s="1"/>
      <c r="E564" s="1"/>
      <c r="F564" s="1"/>
      <c r="G564" s="15"/>
      <c r="H564" s="1"/>
      <c r="I564" s="23"/>
      <c r="J564" s="23"/>
      <c r="K564" s="14"/>
      <c r="L564" s="23"/>
      <c r="M564" s="14"/>
      <c r="N564" s="20"/>
      <c r="O564" s="20"/>
      <c r="P564" s="20"/>
      <c r="Q564" s="7"/>
    </row>
    <row r="565" spans="3:17" s="2" customFormat="1" ht="15.75" x14ac:dyDescent="0.25">
      <c r="C565" s="1"/>
      <c r="D565" s="1"/>
      <c r="E565" s="1"/>
      <c r="F565" s="1"/>
      <c r="G565" s="15"/>
      <c r="H565" s="1"/>
      <c r="I565" s="23"/>
      <c r="J565" s="23"/>
      <c r="K565" s="14"/>
      <c r="L565" s="23"/>
      <c r="M565" s="14"/>
      <c r="N565" s="20"/>
      <c r="O565" s="20"/>
      <c r="P565" s="20"/>
      <c r="Q565" s="7"/>
    </row>
    <row r="566" spans="3:17" s="2" customFormat="1" ht="15.75" x14ac:dyDescent="0.25">
      <c r="C566" s="1"/>
      <c r="D566" s="1"/>
      <c r="E566" s="1"/>
      <c r="F566" s="1"/>
      <c r="G566" s="15"/>
      <c r="H566" s="1"/>
      <c r="I566" s="23"/>
      <c r="J566" s="23"/>
      <c r="K566" s="14"/>
      <c r="L566" s="23"/>
      <c r="M566" s="14"/>
      <c r="N566" s="20"/>
      <c r="O566" s="20"/>
      <c r="P566" s="20"/>
      <c r="Q566" s="7"/>
    </row>
    <row r="567" spans="3:17" s="2" customFormat="1" ht="15.75" x14ac:dyDescent="0.25">
      <c r="C567" s="1"/>
      <c r="D567" s="1"/>
      <c r="E567" s="1"/>
      <c r="F567" s="1"/>
      <c r="G567" s="15"/>
      <c r="H567" s="1"/>
      <c r="I567" s="23"/>
      <c r="J567" s="23"/>
      <c r="K567" s="14"/>
      <c r="L567" s="23"/>
      <c r="M567" s="14"/>
      <c r="N567" s="20"/>
      <c r="O567" s="20"/>
      <c r="P567" s="20"/>
      <c r="Q567" s="7"/>
    </row>
    <row r="568" spans="3:17" s="2" customFormat="1" ht="15.75" x14ac:dyDescent="0.25">
      <c r="C568" s="1"/>
      <c r="D568" s="1"/>
      <c r="E568" s="1"/>
      <c r="F568" s="1"/>
      <c r="G568" s="15"/>
      <c r="H568" s="1"/>
      <c r="I568" s="23"/>
      <c r="J568" s="23"/>
      <c r="K568" s="14"/>
      <c r="L568" s="23"/>
      <c r="M568" s="14"/>
      <c r="N568" s="20"/>
      <c r="O568" s="20"/>
      <c r="P568" s="20"/>
      <c r="Q568" s="7"/>
    </row>
    <row r="569" spans="3:17" s="2" customFormat="1" ht="15.75" x14ac:dyDescent="0.25">
      <c r="C569" s="1"/>
      <c r="D569" s="1"/>
      <c r="E569" s="1"/>
      <c r="F569" s="1"/>
      <c r="G569" s="15"/>
      <c r="H569" s="1"/>
      <c r="I569" s="23"/>
      <c r="J569" s="23"/>
      <c r="K569" s="14"/>
      <c r="L569" s="23"/>
      <c r="M569" s="14"/>
      <c r="N569" s="20"/>
      <c r="O569" s="20"/>
      <c r="P569" s="20"/>
      <c r="Q569" s="7"/>
    </row>
    <row r="570" spans="3:17" s="2" customFormat="1" ht="15.75" x14ac:dyDescent="0.25">
      <c r="C570" s="1"/>
      <c r="D570" s="1"/>
      <c r="E570" s="1"/>
      <c r="F570" s="1"/>
      <c r="G570" s="15"/>
      <c r="H570" s="1"/>
      <c r="I570" s="23"/>
      <c r="J570" s="23"/>
      <c r="K570" s="14"/>
      <c r="L570" s="23"/>
      <c r="M570" s="14"/>
      <c r="N570" s="20"/>
      <c r="O570" s="20"/>
      <c r="P570" s="20"/>
      <c r="Q570" s="7"/>
    </row>
    <row r="571" spans="3:17" s="2" customFormat="1" ht="15.75" x14ac:dyDescent="0.25">
      <c r="C571" s="1"/>
      <c r="D571" s="1"/>
      <c r="E571" s="1"/>
      <c r="F571" s="1"/>
      <c r="G571" s="15"/>
      <c r="H571" s="1"/>
      <c r="I571" s="23"/>
      <c r="J571" s="23"/>
      <c r="K571" s="14"/>
      <c r="L571" s="23"/>
      <c r="M571" s="14"/>
      <c r="N571" s="20"/>
      <c r="O571" s="20"/>
      <c r="P571" s="20"/>
      <c r="Q571" s="7"/>
    </row>
    <row r="572" spans="3:17" s="2" customFormat="1" ht="15.75" x14ac:dyDescent="0.25">
      <c r="C572" s="1"/>
      <c r="D572" s="1"/>
      <c r="E572" s="1"/>
      <c r="F572" s="1"/>
      <c r="G572" s="15"/>
      <c r="H572" s="1"/>
      <c r="I572" s="23"/>
      <c r="J572" s="23"/>
      <c r="K572" s="14"/>
      <c r="L572" s="23"/>
      <c r="M572" s="14"/>
      <c r="N572" s="20"/>
      <c r="O572" s="20"/>
      <c r="P572" s="20"/>
      <c r="Q572" s="7"/>
    </row>
    <row r="573" spans="3:17" s="2" customFormat="1" ht="15.75" x14ac:dyDescent="0.25">
      <c r="C573" s="1"/>
      <c r="D573" s="1"/>
      <c r="E573" s="1"/>
      <c r="F573" s="1"/>
      <c r="G573" s="15"/>
      <c r="H573" s="1"/>
      <c r="I573" s="23"/>
      <c r="J573" s="23"/>
      <c r="K573" s="14"/>
      <c r="L573" s="23"/>
      <c r="M573" s="14"/>
      <c r="N573" s="20"/>
      <c r="O573" s="20"/>
      <c r="P573" s="20"/>
      <c r="Q573" s="7"/>
    </row>
    <row r="574" spans="3:17" s="2" customFormat="1" ht="15.75" x14ac:dyDescent="0.25">
      <c r="C574" s="1"/>
      <c r="D574" s="1"/>
      <c r="E574" s="1"/>
      <c r="F574" s="1"/>
      <c r="G574" s="15"/>
      <c r="H574" s="1"/>
      <c r="I574" s="23"/>
      <c r="J574" s="23"/>
      <c r="K574" s="14"/>
      <c r="L574" s="23"/>
      <c r="M574" s="14"/>
      <c r="N574" s="20"/>
      <c r="O574" s="20"/>
      <c r="P574" s="20"/>
      <c r="Q574" s="7"/>
    </row>
    <row r="575" spans="3:17" s="2" customFormat="1" ht="15.75" x14ac:dyDescent="0.25">
      <c r="C575" s="1"/>
      <c r="D575" s="1"/>
      <c r="E575" s="1"/>
      <c r="F575" s="1"/>
      <c r="G575" s="15"/>
      <c r="H575" s="1"/>
      <c r="I575" s="23"/>
      <c r="J575" s="23"/>
      <c r="K575" s="14"/>
      <c r="L575" s="23"/>
      <c r="M575" s="14"/>
      <c r="N575" s="20"/>
      <c r="O575" s="20"/>
      <c r="P575" s="20"/>
      <c r="Q575" s="7"/>
    </row>
    <row r="576" spans="3:17" s="2" customFormat="1" ht="15.75" x14ac:dyDescent="0.25">
      <c r="C576" s="1"/>
      <c r="D576" s="1"/>
      <c r="E576" s="1"/>
      <c r="F576" s="1"/>
      <c r="G576" s="15"/>
      <c r="H576" s="1"/>
      <c r="I576" s="23"/>
      <c r="J576" s="23"/>
      <c r="K576" s="14"/>
      <c r="L576" s="23"/>
      <c r="M576" s="14"/>
      <c r="N576" s="20"/>
      <c r="O576" s="20"/>
      <c r="P576" s="20"/>
      <c r="Q576" s="7"/>
    </row>
    <row r="577" spans="3:17" s="2" customFormat="1" ht="15.75" x14ac:dyDescent="0.25">
      <c r="C577" s="1"/>
      <c r="D577" s="1"/>
      <c r="E577" s="1"/>
      <c r="F577" s="1"/>
      <c r="G577" s="15"/>
      <c r="H577" s="1"/>
      <c r="I577" s="23"/>
      <c r="J577" s="23"/>
      <c r="K577" s="14"/>
      <c r="L577" s="23"/>
      <c r="M577" s="14"/>
      <c r="N577" s="20"/>
      <c r="O577" s="20"/>
      <c r="P577" s="20"/>
      <c r="Q577" s="7"/>
    </row>
    <row r="578" spans="3:17" s="2" customFormat="1" ht="15.75" x14ac:dyDescent="0.25">
      <c r="C578" s="1"/>
      <c r="D578" s="1"/>
      <c r="E578" s="1"/>
      <c r="F578" s="1"/>
      <c r="G578" s="15"/>
      <c r="H578" s="1"/>
      <c r="I578" s="23"/>
      <c r="J578" s="23"/>
      <c r="K578" s="14"/>
      <c r="L578" s="23"/>
      <c r="M578" s="14"/>
      <c r="N578" s="20"/>
      <c r="O578" s="20"/>
      <c r="P578" s="20"/>
      <c r="Q578" s="7"/>
    </row>
    <row r="579" spans="3:17" s="2" customFormat="1" ht="15.75" x14ac:dyDescent="0.25">
      <c r="C579" s="1"/>
      <c r="D579" s="1"/>
      <c r="E579" s="1"/>
      <c r="F579" s="1"/>
      <c r="G579" s="15"/>
      <c r="H579" s="1"/>
      <c r="I579" s="23"/>
      <c r="J579" s="23"/>
      <c r="K579" s="14"/>
      <c r="L579" s="23"/>
      <c r="M579" s="14"/>
      <c r="N579" s="20"/>
      <c r="O579" s="20"/>
      <c r="P579" s="20"/>
      <c r="Q579" s="7"/>
    </row>
    <row r="580" spans="3:17" s="2" customFormat="1" ht="15.75" x14ac:dyDescent="0.25">
      <c r="C580" s="1"/>
      <c r="D580" s="1"/>
      <c r="E580" s="1"/>
      <c r="F580" s="1"/>
      <c r="G580" s="15"/>
      <c r="H580" s="1"/>
      <c r="I580" s="23"/>
      <c r="J580" s="23"/>
      <c r="K580" s="14"/>
      <c r="L580" s="23"/>
      <c r="M580" s="14"/>
      <c r="N580" s="20"/>
      <c r="O580" s="20"/>
      <c r="P580" s="20"/>
      <c r="Q580" s="7"/>
    </row>
    <row r="581" spans="3:17" s="2" customFormat="1" ht="15.75" x14ac:dyDescent="0.25">
      <c r="C581" s="1"/>
      <c r="D581" s="1"/>
      <c r="E581" s="1"/>
      <c r="F581" s="1"/>
      <c r="G581" s="15"/>
      <c r="H581" s="1"/>
      <c r="I581" s="23"/>
      <c r="J581" s="23"/>
      <c r="K581" s="14"/>
      <c r="L581" s="23"/>
      <c r="M581" s="14"/>
      <c r="N581" s="20"/>
      <c r="O581" s="20"/>
      <c r="P581" s="20"/>
      <c r="Q581" s="7"/>
    </row>
    <row r="582" spans="3:17" s="2" customFormat="1" ht="15.75" x14ac:dyDescent="0.25">
      <c r="C582" s="1"/>
      <c r="D582" s="1"/>
      <c r="E582" s="1"/>
      <c r="F582" s="1"/>
      <c r="G582" s="15"/>
      <c r="H582" s="1"/>
      <c r="I582" s="23"/>
      <c r="J582" s="23"/>
      <c r="K582" s="14"/>
      <c r="L582" s="23"/>
      <c r="M582" s="14"/>
      <c r="N582" s="20"/>
      <c r="O582" s="20"/>
      <c r="P582" s="20"/>
      <c r="Q582" s="7"/>
    </row>
    <row r="583" spans="3:17" s="2" customFormat="1" ht="15.75" x14ac:dyDescent="0.25">
      <c r="C583" s="1"/>
      <c r="D583" s="1"/>
      <c r="E583" s="1"/>
      <c r="F583" s="1"/>
      <c r="G583" s="15"/>
      <c r="H583" s="1"/>
      <c r="I583" s="23"/>
      <c r="J583" s="23"/>
      <c r="K583" s="14"/>
      <c r="L583" s="23"/>
      <c r="M583" s="14"/>
      <c r="N583" s="20"/>
      <c r="O583" s="20"/>
      <c r="P583" s="20"/>
      <c r="Q583" s="7"/>
    </row>
    <row r="584" spans="3:17" s="2" customFormat="1" ht="15.75" x14ac:dyDescent="0.25">
      <c r="C584" s="1"/>
      <c r="D584" s="1"/>
      <c r="E584" s="1"/>
      <c r="F584" s="1"/>
      <c r="G584" s="15"/>
      <c r="H584" s="1"/>
      <c r="I584" s="23"/>
      <c r="J584" s="23"/>
      <c r="K584" s="14"/>
      <c r="L584" s="23"/>
      <c r="M584" s="14"/>
      <c r="N584" s="20"/>
      <c r="O584" s="20"/>
      <c r="P584" s="20"/>
      <c r="Q584" s="7"/>
    </row>
    <row r="585" spans="3:17" s="2" customFormat="1" ht="15.75" x14ac:dyDescent="0.25">
      <c r="C585" s="1"/>
      <c r="D585" s="1"/>
      <c r="E585" s="1"/>
      <c r="F585" s="1"/>
      <c r="G585" s="15"/>
      <c r="H585" s="1"/>
      <c r="I585" s="23"/>
      <c r="J585" s="23"/>
      <c r="K585" s="14"/>
      <c r="L585" s="23"/>
      <c r="M585" s="14"/>
      <c r="N585" s="20"/>
      <c r="O585" s="20"/>
      <c r="P585" s="20"/>
      <c r="Q585" s="7"/>
    </row>
    <row r="586" spans="3:17" s="2" customFormat="1" ht="15.75" x14ac:dyDescent="0.25">
      <c r="C586" s="1"/>
      <c r="D586" s="1"/>
      <c r="E586" s="1"/>
      <c r="F586" s="1"/>
      <c r="G586" s="15"/>
      <c r="H586" s="1"/>
      <c r="I586" s="23"/>
      <c r="J586" s="23"/>
      <c r="K586" s="14"/>
      <c r="L586" s="23"/>
      <c r="M586" s="14"/>
      <c r="N586" s="20"/>
      <c r="O586" s="20"/>
      <c r="P586" s="20"/>
      <c r="Q586" s="7"/>
    </row>
    <row r="587" spans="3:17" s="2" customFormat="1" ht="15.75" x14ac:dyDescent="0.25">
      <c r="C587" s="1"/>
      <c r="D587" s="1"/>
      <c r="E587" s="1"/>
      <c r="F587" s="1"/>
      <c r="G587" s="15"/>
      <c r="H587" s="1"/>
      <c r="I587" s="23"/>
      <c r="J587" s="23"/>
      <c r="K587" s="14"/>
      <c r="L587" s="23"/>
      <c r="M587" s="14"/>
      <c r="N587" s="20"/>
      <c r="O587" s="20"/>
      <c r="P587" s="20"/>
      <c r="Q587" s="7"/>
    </row>
    <row r="588" spans="3:17" s="2" customFormat="1" ht="15.75" x14ac:dyDescent="0.25">
      <c r="C588" s="1"/>
      <c r="D588" s="1"/>
      <c r="E588" s="1"/>
      <c r="F588" s="1"/>
      <c r="G588" s="15"/>
      <c r="H588" s="1"/>
      <c r="I588" s="23"/>
      <c r="J588" s="23"/>
      <c r="K588" s="14"/>
      <c r="L588" s="23"/>
      <c r="M588" s="14"/>
      <c r="N588" s="20"/>
      <c r="O588" s="20"/>
      <c r="P588" s="20"/>
      <c r="Q588" s="7"/>
    </row>
    <row r="589" spans="3:17" s="2" customFormat="1" ht="15.75" x14ac:dyDescent="0.25">
      <c r="C589" s="1"/>
      <c r="D589" s="1"/>
      <c r="E589" s="1"/>
      <c r="F589" s="1"/>
      <c r="G589" s="15"/>
      <c r="H589" s="1"/>
      <c r="I589" s="23"/>
      <c r="J589" s="23"/>
      <c r="K589" s="14"/>
      <c r="L589" s="23"/>
      <c r="M589" s="14"/>
      <c r="N589" s="20"/>
      <c r="O589" s="20"/>
      <c r="P589" s="20"/>
      <c r="Q589" s="7"/>
    </row>
    <row r="590" spans="3:17" s="2" customFormat="1" ht="15.75" x14ac:dyDescent="0.25">
      <c r="C590" s="1"/>
      <c r="D590" s="1"/>
      <c r="E590" s="1"/>
      <c r="F590" s="1"/>
      <c r="G590" s="15"/>
      <c r="H590" s="1"/>
      <c r="I590" s="23"/>
      <c r="J590" s="23"/>
      <c r="K590" s="14"/>
      <c r="L590" s="23"/>
      <c r="M590" s="14"/>
      <c r="N590" s="20"/>
      <c r="O590" s="20"/>
      <c r="P590" s="20"/>
      <c r="Q590" s="7"/>
    </row>
    <row r="591" spans="3:17" s="2" customFormat="1" ht="15.75" x14ac:dyDescent="0.25">
      <c r="C591" s="1"/>
      <c r="D591" s="1"/>
      <c r="E591" s="1"/>
      <c r="F591" s="1"/>
      <c r="G591" s="15"/>
      <c r="H591" s="1"/>
      <c r="I591" s="23"/>
      <c r="J591" s="23"/>
      <c r="K591" s="14"/>
      <c r="L591" s="23"/>
      <c r="M591" s="14"/>
      <c r="N591" s="20"/>
      <c r="O591" s="20"/>
      <c r="P591" s="20"/>
      <c r="Q591" s="7"/>
    </row>
    <row r="592" spans="3:17" s="2" customFormat="1" ht="15.75" x14ac:dyDescent="0.25">
      <c r="C592" s="1"/>
      <c r="D592" s="1"/>
      <c r="E592" s="1"/>
      <c r="F592" s="1"/>
      <c r="G592" s="15"/>
      <c r="H592" s="1"/>
      <c r="I592" s="23"/>
      <c r="J592" s="23"/>
      <c r="K592" s="14"/>
      <c r="L592" s="23"/>
      <c r="M592" s="14"/>
      <c r="N592" s="20"/>
      <c r="O592" s="20"/>
      <c r="P592" s="20"/>
      <c r="Q592" s="7"/>
    </row>
    <row r="593" spans="3:17" s="2" customFormat="1" ht="15.75" x14ac:dyDescent="0.25">
      <c r="C593" s="1"/>
      <c r="D593" s="1"/>
      <c r="E593" s="1"/>
      <c r="F593" s="1"/>
      <c r="G593" s="15"/>
      <c r="H593" s="1"/>
      <c r="I593" s="23"/>
      <c r="J593" s="23"/>
      <c r="K593" s="14"/>
      <c r="L593" s="23"/>
      <c r="M593" s="14"/>
      <c r="N593" s="20"/>
      <c r="O593" s="20"/>
      <c r="P593" s="20"/>
      <c r="Q593" s="7"/>
    </row>
    <row r="594" spans="3:17" s="2" customFormat="1" ht="15.75" x14ac:dyDescent="0.25">
      <c r="C594" s="1"/>
      <c r="D594" s="1"/>
      <c r="E594" s="1"/>
      <c r="F594" s="1"/>
      <c r="G594" s="15"/>
      <c r="H594" s="1"/>
      <c r="I594" s="23"/>
      <c r="J594" s="23"/>
      <c r="K594" s="14"/>
      <c r="L594" s="23"/>
      <c r="M594" s="14"/>
      <c r="N594" s="20"/>
      <c r="O594" s="20"/>
      <c r="P594" s="20"/>
      <c r="Q594" s="7"/>
    </row>
    <row r="595" spans="3:17" s="2" customFormat="1" ht="15.75" x14ac:dyDescent="0.25">
      <c r="C595" s="1"/>
      <c r="D595" s="1"/>
      <c r="E595" s="1"/>
      <c r="F595" s="1"/>
      <c r="G595" s="15"/>
      <c r="H595" s="1"/>
      <c r="I595" s="23"/>
      <c r="J595" s="23"/>
      <c r="K595" s="14"/>
      <c r="L595" s="23"/>
      <c r="M595" s="14"/>
      <c r="N595" s="20"/>
      <c r="O595" s="20"/>
      <c r="P595" s="20"/>
      <c r="Q595" s="7"/>
    </row>
    <row r="596" spans="3:17" s="2" customFormat="1" ht="15.75" x14ac:dyDescent="0.25">
      <c r="C596" s="1"/>
      <c r="D596" s="1"/>
      <c r="E596" s="1"/>
      <c r="F596" s="1"/>
      <c r="G596" s="15"/>
      <c r="H596" s="1"/>
      <c r="I596" s="23"/>
      <c r="J596" s="23"/>
      <c r="K596" s="14"/>
      <c r="L596" s="23"/>
      <c r="M596" s="14"/>
      <c r="N596" s="20"/>
      <c r="O596" s="20"/>
      <c r="P596" s="20"/>
      <c r="Q596" s="7"/>
    </row>
    <row r="597" spans="3:17" s="2" customFormat="1" ht="15.75" x14ac:dyDescent="0.25">
      <c r="C597" s="1"/>
      <c r="D597" s="1"/>
      <c r="E597" s="1"/>
      <c r="F597" s="1"/>
      <c r="G597" s="15"/>
      <c r="H597" s="1"/>
      <c r="I597" s="23"/>
      <c r="J597" s="23"/>
      <c r="K597" s="14"/>
      <c r="L597" s="23"/>
      <c r="M597" s="14"/>
      <c r="N597" s="20"/>
      <c r="O597" s="20"/>
      <c r="P597" s="20"/>
      <c r="Q597" s="7"/>
    </row>
    <row r="598" spans="3:17" s="2" customFormat="1" ht="15.75" x14ac:dyDescent="0.25">
      <c r="C598" s="1"/>
      <c r="D598" s="1"/>
      <c r="E598" s="1"/>
      <c r="F598" s="1"/>
      <c r="G598" s="15"/>
      <c r="H598" s="1"/>
      <c r="I598" s="23"/>
      <c r="J598" s="23"/>
      <c r="K598" s="14"/>
      <c r="L598" s="23"/>
      <c r="M598" s="14"/>
      <c r="N598" s="20"/>
      <c r="O598" s="20"/>
      <c r="P598" s="20"/>
      <c r="Q598" s="7"/>
    </row>
    <row r="599" spans="3:17" s="2" customFormat="1" ht="15.75" x14ac:dyDescent="0.25">
      <c r="C599" s="1"/>
      <c r="D599" s="1"/>
      <c r="E599" s="1"/>
      <c r="F599" s="1"/>
      <c r="G599" s="15"/>
      <c r="H599" s="1"/>
      <c r="I599" s="23"/>
      <c r="J599" s="23"/>
      <c r="K599" s="14"/>
      <c r="L599" s="23"/>
      <c r="M599" s="14"/>
      <c r="N599" s="20"/>
      <c r="O599" s="20"/>
      <c r="P599" s="20"/>
      <c r="Q599" s="7"/>
    </row>
    <row r="600" spans="3:17" s="2" customFormat="1" ht="15.75" x14ac:dyDescent="0.25">
      <c r="C600" s="1"/>
      <c r="D600" s="1"/>
      <c r="E600" s="1"/>
      <c r="F600" s="1"/>
      <c r="G600" s="15"/>
      <c r="H600" s="1"/>
      <c r="I600" s="23"/>
      <c r="J600" s="23"/>
      <c r="K600" s="14"/>
      <c r="L600" s="23"/>
      <c r="M600" s="14"/>
      <c r="N600" s="20"/>
      <c r="O600" s="20"/>
      <c r="P600" s="20"/>
      <c r="Q600" s="7"/>
    </row>
    <row r="601" spans="3:17" s="2" customFormat="1" ht="15.75" x14ac:dyDescent="0.25">
      <c r="C601" s="1"/>
      <c r="D601" s="1"/>
      <c r="E601" s="1"/>
      <c r="F601" s="1"/>
      <c r="G601" s="15"/>
      <c r="H601" s="1"/>
      <c r="I601" s="23"/>
      <c r="J601" s="23"/>
      <c r="K601" s="14"/>
      <c r="L601" s="23"/>
      <c r="M601" s="14"/>
      <c r="N601" s="20"/>
      <c r="O601" s="20"/>
      <c r="P601" s="20"/>
      <c r="Q601" s="7"/>
    </row>
    <row r="602" spans="3:17" s="2" customFormat="1" ht="15.75" x14ac:dyDescent="0.25">
      <c r="C602" s="1"/>
      <c r="D602" s="1"/>
      <c r="E602" s="1"/>
      <c r="F602" s="1"/>
      <c r="G602" s="15"/>
      <c r="H602" s="1"/>
      <c r="I602" s="23"/>
      <c r="J602" s="23"/>
      <c r="K602" s="14"/>
      <c r="L602" s="23"/>
      <c r="M602" s="14"/>
      <c r="N602" s="20"/>
      <c r="O602" s="20"/>
      <c r="P602" s="20"/>
      <c r="Q602" s="7"/>
    </row>
    <row r="603" spans="3:17" s="2" customFormat="1" ht="15.75" x14ac:dyDescent="0.25">
      <c r="C603" s="1"/>
      <c r="D603" s="1"/>
      <c r="E603" s="1"/>
      <c r="F603" s="1"/>
      <c r="G603" s="15"/>
      <c r="H603" s="1"/>
      <c r="I603" s="23"/>
      <c r="J603" s="23"/>
      <c r="K603" s="14"/>
      <c r="L603" s="23"/>
      <c r="M603" s="14"/>
      <c r="N603" s="20"/>
      <c r="O603" s="20"/>
      <c r="P603" s="20"/>
      <c r="Q603" s="7"/>
    </row>
    <row r="604" spans="3:17" s="2" customFormat="1" ht="15.75" x14ac:dyDescent="0.25">
      <c r="C604" s="1"/>
      <c r="D604" s="1"/>
      <c r="E604" s="1"/>
      <c r="F604" s="1"/>
      <c r="G604" s="15"/>
      <c r="H604" s="1"/>
      <c r="I604" s="23"/>
      <c r="J604" s="23"/>
      <c r="K604" s="14"/>
      <c r="L604" s="23"/>
      <c r="M604" s="14"/>
      <c r="N604" s="20"/>
      <c r="O604" s="20"/>
      <c r="P604" s="20"/>
      <c r="Q604" s="7"/>
    </row>
    <row r="605" spans="3:17" s="2" customFormat="1" ht="15.75" x14ac:dyDescent="0.25">
      <c r="C605" s="1"/>
      <c r="D605" s="1"/>
      <c r="E605" s="1"/>
      <c r="F605" s="1"/>
      <c r="G605" s="15"/>
      <c r="H605" s="1"/>
      <c r="I605" s="23"/>
      <c r="J605" s="23"/>
      <c r="K605" s="14"/>
      <c r="L605" s="23"/>
      <c r="M605" s="14"/>
      <c r="N605" s="20"/>
      <c r="O605" s="20"/>
      <c r="P605" s="20"/>
      <c r="Q605" s="7"/>
    </row>
    <row r="606" spans="3:17" s="2" customFormat="1" ht="15.75" x14ac:dyDescent="0.25">
      <c r="C606" s="1"/>
      <c r="D606" s="1"/>
      <c r="E606" s="1"/>
      <c r="F606" s="1"/>
      <c r="G606" s="15"/>
      <c r="H606" s="1"/>
      <c r="I606" s="23"/>
      <c r="J606" s="23"/>
      <c r="K606" s="14"/>
      <c r="L606" s="23"/>
      <c r="M606" s="14"/>
      <c r="N606" s="20"/>
      <c r="O606" s="20"/>
      <c r="P606" s="20"/>
      <c r="Q606" s="7"/>
    </row>
    <row r="607" spans="3:17" s="2" customFormat="1" ht="15.75" x14ac:dyDescent="0.25">
      <c r="C607" s="1"/>
      <c r="D607" s="1"/>
      <c r="E607" s="1"/>
      <c r="F607" s="1"/>
      <c r="G607" s="15"/>
      <c r="H607" s="1"/>
      <c r="I607" s="23"/>
      <c r="J607" s="23"/>
      <c r="K607" s="14"/>
      <c r="L607" s="23"/>
      <c r="M607" s="14"/>
      <c r="N607" s="20"/>
      <c r="O607" s="20"/>
      <c r="P607" s="20"/>
      <c r="Q607" s="7"/>
    </row>
    <row r="608" spans="3:17" s="2" customFormat="1" ht="15.75" x14ac:dyDescent="0.25">
      <c r="C608" s="1"/>
      <c r="D608" s="1"/>
      <c r="E608" s="1"/>
      <c r="F608" s="1"/>
      <c r="G608" s="15"/>
      <c r="H608" s="1"/>
      <c r="I608" s="23"/>
      <c r="J608" s="23"/>
      <c r="K608" s="14"/>
      <c r="L608" s="23"/>
      <c r="M608" s="14"/>
      <c r="N608" s="20"/>
      <c r="O608" s="20"/>
      <c r="P608" s="20"/>
      <c r="Q608" s="7"/>
    </row>
    <row r="609" spans="3:17" s="2" customFormat="1" ht="15.75" x14ac:dyDescent="0.25">
      <c r="C609" s="1"/>
      <c r="D609" s="1"/>
      <c r="E609" s="1"/>
      <c r="F609" s="1"/>
      <c r="G609" s="15"/>
      <c r="H609" s="1"/>
      <c r="I609" s="23"/>
      <c r="J609" s="23"/>
      <c r="K609" s="14"/>
      <c r="L609" s="23"/>
      <c r="M609" s="14"/>
      <c r="N609" s="20"/>
      <c r="O609" s="20"/>
      <c r="P609" s="20"/>
      <c r="Q609" s="7"/>
    </row>
    <row r="610" spans="3:17" s="2" customFormat="1" ht="15.75" x14ac:dyDescent="0.25">
      <c r="C610" s="1"/>
      <c r="D610" s="1"/>
      <c r="E610" s="1"/>
      <c r="F610" s="1"/>
      <c r="G610" s="15"/>
      <c r="H610" s="1"/>
      <c r="I610" s="23"/>
      <c r="J610" s="23"/>
      <c r="K610" s="14"/>
      <c r="L610" s="23"/>
      <c r="M610" s="14"/>
      <c r="N610" s="20"/>
      <c r="O610" s="20"/>
      <c r="P610" s="20"/>
      <c r="Q610" s="7"/>
    </row>
    <row r="611" spans="3:17" s="2" customFormat="1" ht="15.75" x14ac:dyDescent="0.25">
      <c r="C611" s="1"/>
      <c r="D611" s="1"/>
      <c r="E611" s="1"/>
      <c r="F611" s="1"/>
      <c r="G611" s="15"/>
      <c r="H611" s="1"/>
      <c r="I611" s="23"/>
      <c r="J611" s="23"/>
      <c r="K611" s="14"/>
      <c r="L611" s="23"/>
      <c r="M611" s="14"/>
      <c r="N611" s="20"/>
      <c r="O611" s="20"/>
      <c r="P611" s="20"/>
      <c r="Q611" s="7"/>
    </row>
    <row r="612" spans="3:17" s="2" customFormat="1" ht="15.75" x14ac:dyDescent="0.25">
      <c r="C612" s="1"/>
      <c r="D612" s="1"/>
      <c r="E612" s="1"/>
      <c r="F612" s="1"/>
      <c r="G612" s="15"/>
      <c r="H612" s="1"/>
      <c r="I612" s="23"/>
      <c r="J612" s="23"/>
      <c r="K612" s="14"/>
      <c r="L612" s="23"/>
      <c r="M612" s="14"/>
      <c r="N612" s="20"/>
      <c r="O612" s="20"/>
      <c r="P612" s="20"/>
      <c r="Q612" s="7"/>
    </row>
    <row r="613" spans="3:17" s="2" customFormat="1" ht="15.75" x14ac:dyDescent="0.25">
      <c r="C613" s="1"/>
      <c r="D613" s="1"/>
      <c r="E613" s="1"/>
      <c r="F613" s="1"/>
      <c r="G613" s="15"/>
      <c r="H613" s="1"/>
      <c r="I613" s="23"/>
      <c r="J613" s="23"/>
      <c r="K613" s="14"/>
      <c r="L613" s="23"/>
      <c r="M613" s="14"/>
      <c r="N613" s="20"/>
      <c r="O613" s="20"/>
      <c r="P613" s="20"/>
      <c r="Q613" s="7"/>
    </row>
    <row r="614" spans="3:17" s="2" customFormat="1" ht="15.75" x14ac:dyDescent="0.25">
      <c r="C614" s="1"/>
      <c r="D614" s="1"/>
      <c r="E614" s="1"/>
      <c r="F614" s="1"/>
      <c r="G614" s="15"/>
      <c r="H614" s="1"/>
      <c r="I614" s="23"/>
      <c r="J614" s="23"/>
      <c r="K614" s="14"/>
      <c r="L614" s="23"/>
      <c r="M614" s="14"/>
      <c r="N614" s="20"/>
      <c r="O614" s="20"/>
      <c r="P614" s="20"/>
      <c r="Q614" s="7"/>
    </row>
  </sheetData>
  <autoFilter ref="B4:Q242">
    <filterColumn colId="6">
      <filters>
        <filter val="SR-Sky"/>
      </filters>
    </filterColumn>
  </autoFilter>
  <mergeCells count="2">
    <mergeCell ref="F1:M1"/>
    <mergeCell ref="G3:H3"/>
  </mergeCells>
  <conditionalFormatting sqref="N129:N135 N1:N118 N145:N226 N241:N1048576">
    <cfRule type="cellIs" dxfId="11" priority="14" operator="between">
      <formula>-0.001</formula>
      <formula>-999999999</formula>
    </cfRule>
  </conditionalFormatting>
  <conditionalFormatting sqref="N119:N128">
    <cfRule type="cellIs" dxfId="10" priority="12" operator="between">
      <formula>-0.001</formula>
      <formula>-999999999</formula>
    </cfRule>
  </conditionalFormatting>
  <conditionalFormatting sqref="N142:N144">
    <cfRule type="cellIs" dxfId="9" priority="11" operator="between">
      <formula>-0.001</formula>
      <formula>-999999999</formula>
    </cfRule>
  </conditionalFormatting>
  <conditionalFormatting sqref="N139:N141">
    <cfRule type="cellIs" dxfId="8" priority="10" operator="between">
      <formula>-0.001</formula>
      <formula>-999999999</formula>
    </cfRule>
  </conditionalFormatting>
  <conditionalFormatting sqref="N136:N138">
    <cfRule type="cellIs" dxfId="7" priority="9" operator="between">
      <formula>-0.001</formula>
      <formula>-999999999</formula>
    </cfRule>
  </conditionalFormatting>
  <conditionalFormatting sqref="N239:N240">
    <cfRule type="cellIs" dxfId="6" priority="7" operator="between">
      <formula>-0.001</formula>
      <formula>-999999999</formula>
    </cfRule>
  </conditionalFormatting>
  <conditionalFormatting sqref="N237:N238">
    <cfRule type="cellIs" dxfId="5" priority="6" operator="between">
      <formula>-0.001</formula>
      <formula>-999999999</formula>
    </cfRule>
  </conditionalFormatting>
  <conditionalFormatting sqref="N235:N236">
    <cfRule type="cellIs" dxfId="4" priority="5" operator="between">
      <formula>-0.001</formula>
      <formula>-999999999</formula>
    </cfRule>
  </conditionalFormatting>
  <conditionalFormatting sqref="N233:N234">
    <cfRule type="cellIs" dxfId="3" priority="4" operator="between">
      <formula>-0.001</formula>
      <formula>-999999999</formula>
    </cfRule>
  </conditionalFormatting>
  <conditionalFormatting sqref="N231:N232">
    <cfRule type="cellIs" dxfId="2" priority="3" operator="between">
      <formula>-0.001</formula>
      <formula>-999999999</formula>
    </cfRule>
  </conditionalFormatting>
  <conditionalFormatting sqref="N229:N230">
    <cfRule type="cellIs" dxfId="1" priority="2" operator="between">
      <formula>-0.001</formula>
      <formula>-999999999</formula>
    </cfRule>
  </conditionalFormatting>
  <conditionalFormatting sqref="N227:N228">
    <cfRule type="cellIs" dxfId="0" priority="1" operator="between">
      <formula>-0.001</formula>
      <formula>-999999999</formula>
    </cfRule>
  </conditionalFormatting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AB73"/>
  <sheetViews>
    <sheetView showGridLines="0" workbookViewId="0">
      <selection activeCell="D5" sqref="D5"/>
    </sheetView>
  </sheetViews>
  <sheetFormatPr defaultRowHeight="15" x14ac:dyDescent="0.25"/>
  <cols>
    <col min="1" max="1" width="2.42578125" customWidth="1"/>
    <col min="2" max="2" width="14.7109375" style="15" customWidth="1"/>
    <col min="3" max="3" width="10.7109375" style="15" customWidth="1"/>
    <col min="4" max="4" width="16.7109375" style="1" customWidth="1"/>
    <col min="5" max="5" width="2.42578125" customWidth="1"/>
  </cols>
  <sheetData>
    <row r="1" spans="2:11" ht="15.75" thickBot="1" x14ac:dyDescent="0.3"/>
    <row r="2" spans="2:11" x14ac:dyDescent="0.25">
      <c r="B2" s="128" t="s">
        <v>202</v>
      </c>
      <c r="C2" s="128" t="s">
        <v>2</v>
      </c>
      <c r="D2" s="133" t="s">
        <v>203</v>
      </c>
    </row>
    <row r="3" spans="2:11" ht="15.75" customHeight="1" thickBot="1" x14ac:dyDescent="0.3">
      <c r="B3" s="129"/>
      <c r="C3" s="129"/>
      <c r="D3" s="135"/>
    </row>
    <row r="4" spans="2:11" x14ac:dyDescent="0.25">
      <c r="B4" s="141" t="s">
        <v>201</v>
      </c>
      <c r="C4" s="58" t="s">
        <v>16</v>
      </c>
      <c r="D4" s="55">
        <f>SUM(SUMIF('Raw Data'!H5:H514,{"B"}, 'Raw Data'!K5:K514))/SUM(COUNTIF('Raw Data'!H5:H514,{"B"}))</f>
        <v>0.51154611806863626</v>
      </c>
      <c r="K4" s="6">
        <f>SUM('Product Margin Analysis'!D4)</f>
        <v>0.51154611806863626</v>
      </c>
    </row>
    <row r="5" spans="2:11" ht="15.75" thickBot="1" x14ac:dyDescent="0.3">
      <c r="B5" s="142"/>
      <c r="C5" s="59" t="s">
        <v>18</v>
      </c>
      <c r="D5" s="57">
        <f>SUM(SUMIF('Raw Data'!H5:H514,{"K"}, 'Raw Data'!K5:K514))/SUM(COUNTIF('Raw Data'!H5:H514,{"K"}))</f>
        <v>0.5255112604444484</v>
      </c>
    </row>
    <row r="6" spans="2:11" x14ac:dyDescent="0.25">
      <c r="B6" s="143" t="s">
        <v>200</v>
      </c>
      <c r="C6" s="58" t="s">
        <v>33</v>
      </c>
      <c r="D6" s="55">
        <f>SUM(SUMIF('Raw Data'!H5:H514,{"FP","FP-LC","FP-IR","FP-VP","FP-OP"}, 'Raw Data'!K5:K514))/SUM(COUNTIF('Raw Data'!H5:H514,{"FP","FP-LC","FP-IR","FP-VP","FP-OP"}))</f>
        <v>0.60594873133478133</v>
      </c>
    </row>
    <row r="7" spans="2:11" x14ac:dyDescent="0.25">
      <c r="B7" s="144"/>
      <c r="C7" s="53" t="s">
        <v>14</v>
      </c>
      <c r="D7" s="56">
        <f>SUM(SUMIF('Raw Data'!H5:H514,{"IR","IR-LC","IR-FP","IR-VP","IR-OP","IR-Sky"}, 'Raw Data'!K5:K514))/SUM(COUNTIF('Raw Data'!H5:H514,{"IR","IR-LC","IR-FP","IR-VP","IR-OP","IR-Sky"}))</f>
        <v>0.52799035891562296</v>
      </c>
    </row>
    <row r="8" spans="2:11" x14ac:dyDescent="0.25">
      <c r="B8" s="144"/>
      <c r="C8" s="53" t="s">
        <v>19</v>
      </c>
      <c r="D8" s="56">
        <f>SUM(SUMIF('Raw Data'!H5:H514,{"LC","LC-IR","LC-FP","LC-VP","LC-OP","LC-Sky"}, 'Raw Data'!K5:K514))/SUM(COUNTIF('Raw Data'!H5:H514,{"LC","LC-IR","LC-FP","LC-VP","LC-OP","LC-Sky"}))</f>
        <v>0.56532010131848476</v>
      </c>
    </row>
    <row r="9" spans="2:11" x14ac:dyDescent="0.25">
      <c r="B9" s="144"/>
      <c r="C9" s="53" t="s">
        <v>21</v>
      </c>
      <c r="D9" s="56">
        <f>SUM(SUMIF('Raw Data'!H5:H514,{"OP","OP-IR","OP-FP","OP-VP","OP-LC"}, 'Raw Data'!K5:K514))/SUM(COUNTIF('Raw Data'!H5:H514,{"OP","OP-IR","OP-FP","OP-VP","OP-LC"}))</f>
        <v>0.51342686605982091</v>
      </c>
    </row>
    <row r="10" spans="2:11" ht="15.75" thickBot="1" x14ac:dyDescent="0.3">
      <c r="B10" s="145"/>
      <c r="C10" s="59" t="s">
        <v>24</v>
      </c>
      <c r="D10" s="57">
        <f>SUM(SUMIF('Raw Data'!H5:H514,{"VP","VP-IR","VP-FP","VP-OP","VP-LC"}, 'Raw Data'!K5:K514))/SUM(COUNTIF('Raw Data'!H5:H514,{"VP","VP-IR","VP-FP","VP-OP","VP-LC"}))</f>
        <v>0.5665732333055602</v>
      </c>
    </row>
    <row r="11" spans="2:11" x14ac:dyDescent="0.25">
      <c r="B11" s="146" t="s">
        <v>198</v>
      </c>
      <c r="C11" s="58" t="s">
        <v>194</v>
      </c>
      <c r="D11" s="55">
        <f>SUM(SUMIF('Raw Data'!H5:H514,{"SR-206","SR-206-Sky"}, 'Raw Data'!K5:K514))/SUM(COUNTIF('Raw Data'!H5:H514,{"SR-206","SR-206-Sky"}))</f>
        <v>0.59764484692671915</v>
      </c>
    </row>
    <row r="12" spans="2:11" x14ac:dyDescent="0.25">
      <c r="B12" s="147"/>
      <c r="C12" s="53" t="s">
        <v>193</v>
      </c>
      <c r="D12" s="56">
        <f>SUM(SUMIF('Raw Data'!H5:H514,{"SR-306","SR-306-Sky"}, 'Raw Data'!K5:K514))/SUM(COUNTIF('Raw Data'!H5:H514,{"SR-306","SR-306-Sky"}))</f>
        <v>0.56095500703909162</v>
      </c>
    </row>
    <row r="13" spans="2:11" x14ac:dyDescent="0.25">
      <c r="B13" s="147"/>
      <c r="C13" s="53" t="s">
        <v>195</v>
      </c>
      <c r="D13" s="56">
        <f>SUM(SUMIF('Raw Data'!H5:H514,{"SR-406","SR-406-Sky"}, 'Raw Data'!K5:K514))/SUM(COUNTIF('Raw Data'!H5:H514,{"SR-406","SR-406-Sky"}))</f>
        <v>0.51019521906561116</v>
      </c>
    </row>
    <row r="14" spans="2:11" x14ac:dyDescent="0.25">
      <c r="B14" s="147"/>
      <c r="C14" s="53" t="s">
        <v>192</v>
      </c>
      <c r="D14" s="56">
        <f>SUM(SUMIF('Raw Data'!H5:H514,{"SR-VV"}, 'Raw Data'!K5:K514))/SUM(COUNTIF('Raw Data'!H5:H514,{"SR-VV"}))</f>
        <v>0.62496567971506878</v>
      </c>
    </row>
    <row r="15" spans="2:11" ht="15.75" thickBot="1" x14ac:dyDescent="0.3">
      <c r="B15" s="148"/>
      <c r="C15" s="59" t="s">
        <v>196</v>
      </c>
      <c r="D15" s="57">
        <f>SUM(SUMIF('Raw Data'!H5:H514,{"SCR-WO"}, 'Raw Data'!K5:K514))/SUM(COUNTIF('Raw Data'!H5:H514,{"SCR-WO"}))</f>
        <v>0.56948925949126883</v>
      </c>
    </row>
    <row r="16" spans="2:11" x14ac:dyDescent="0.25">
      <c r="B16" s="138" t="s">
        <v>199</v>
      </c>
      <c r="C16" s="58" t="s">
        <v>223</v>
      </c>
      <c r="D16" s="55">
        <f>SUM(SUMIF('Raw Data'!H5:H514,{"D"}, 'Raw Data'!K5:K514))/SUM(COUNTIF('Raw Data'!H5:H514,{"D"}))</f>
        <v>0.42889499398349235</v>
      </c>
    </row>
    <row r="17" spans="2:4" x14ac:dyDescent="0.25">
      <c r="B17" s="139"/>
      <c r="C17" s="54" t="s">
        <v>13</v>
      </c>
      <c r="D17" s="56">
        <f>SUM(SUMIF('Raw Data'!H5:H514,{"W (A)"}, 'Raw Data'!K5:K514))/SUM(COUNTIF('Raw Data'!H5:H514,{"W (A)"}))</f>
        <v>0.47611735013023204</v>
      </c>
    </row>
    <row r="18" spans="2:4" ht="15.75" thickBot="1" x14ac:dyDescent="0.3">
      <c r="B18" s="140"/>
      <c r="C18" s="59" t="s">
        <v>20</v>
      </c>
      <c r="D18" s="60">
        <f>SUM(SUMIF('Raw Data'!H5:H514,{"W"}, 'Raw Data'!K5:K514))/SUM(COUNTIF('Raw Data'!H5:H514,{"W"}))</f>
        <v>0.46078891185688747</v>
      </c>
    </row>
    <row r="19" spans="2:4" ht="15.75" customHeight="1" thickBot="1" x14ac:dyDescent="0.3">
      <c r="B19" s="126" t="s">
        <v>197</v>
      </c>
      <c r="C19" s="127"/>
      <c r="D19" s="51">
        <f>'Raw Data'!$K$3</f>
        <v>0.52282043921739596</v>
      </c>
    </row>
    <row r="20" spans="2:4" ht="15.75" thickBot="1" x14ac:dyDescent="0.3"/>
    <row r="21" spans="2:4" ht="15" customHeight="1" x14ac:dyDescent="0.25">
      <c r="B21" s="132" t="s">
        <v>202</v>
      </c>
      <c r="C21" s="133"/>
      <c r="D21" s="128" t="s">
        <v>219</v>
      </c>
    </row>
    <row r="22" spans="2:4" ht="15.75" customHeight="1" thickBot="1" x14ac:dyDescent="0.3">
      <c r="B22" s="134"/>
      <c r="C22" s="135"/>
      <c r="D22" s="129"/>
    </row>
    <row r="23" spans="2:4" ht="15.75" thickBot="1" x14ac:dyDescent="0.3">
      <c r="B23" s="136" t="s">
        <v>224</v>
      </c>
      <c r="C23" s="137"/>
      <c r="D23" s="102">
        <f>D4</f>
        <v>0.51154611806863626</v>
      </c>
    </row>
    <row r="24" spans="2:4" ht="15.75" thickBot="1" x14ac:dyDescent="0.3">
      <c r="B24" s="130" t="s">
        <v>225</v>
      </c>
      <c r="C24" s="131"/>
      <c r="D24" s="102">
        <f>D5</f>
        <v>0.5255112604444484</v>
      </c>
    </row>
    <row r="25" spans="2:4" ht="15.75" thickBot="1" x14ac:dyDescent="0.3">
      <c r="B25" s="120" t="s">
        <v>200</v>
      </c>
      <c r="C25" s="121"/>
      <c r="D25" s="102">
        <f>AVERAGE(D6:D10)</f>
        <v>0.55585185818685401</v>
      </c>
    </row>
    <row r="26" spans="2:4" ht="15.75" thickBot="1" x14ac:dyDescent="0.3">
      <c r="B26" s="122" t="s">
        <v>198</v>
      </c>
      <c r="C26" s="123"/>
      <c r="D26" s="102">
        <f>AVERAGE(D11:D15)</f>
        <v>0.57265000244755193</v>
      </c>
    </row>
    <row r="27" spans="2:4" ht="15.75" thickBot="1" x14ac:dyDescent="0.3">
      <c r="B27" s="124" t="s">
        <v>199</v>
      </c>
      <c r="C27" s="125"/>
      <c r="D27" s="102">
        <f>AVERAGE(D16:D18)</f>
        <v>0.45526708532353727</v>
      </c>
    </row>
    <row r="28" spans="2:4" ht="16.5" thickBot="1" x14ac:dyDescent="0.3">
      <c r="B28" s="126" t="s">
        <v>197</v>
      </c>
      <c r="C28" s="127"/>
      <c r="D28" s="51">
        <f>'Raw Data'!$K$3</f>
        <v>0.52282043921739596</v>
      </c>
    </row>
    <row r="29" spans="2:4" x14ac:dyDescent="0.25">
      <c r="B29" s="95"/>
    </row>
    <row r="30" spans="2:4" x14ac:dyDescent="0.25">
      <c r="B30" s="95"/>
    </row>
    <row r="31" spans="2:4" x14ac:dyDescent="0.25">
      <c r="B31" s="95"/>
    </row>
    <row r="36" spans="2:28" x14ac:dyDescent="0.25">
      <c r="B36" s="95"/>
    </row>
    <row r="37" spans="2:28" ht="15.75" thickBot="1" x14ac:dyDescent="0.3"/>
    <row r="38" spans="2:28" x14ac:dyDescent="0.25">
      <c r="F38" s="99"/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79"/>
      <c r="R38" s="79"/>
      <c r="S38" s="79"/>
      <c r="T38" s="79"/>
      <c r="U38" s="79"/>
      <c r="V38" s="79"/>
      <c r="W38" s="79"/>
      <c r="X38" s="79"/>
      <c r="Y38" s="79"/>
      <c r="Z38" s="79"/>
      <c r="AA38" s="79"/>
      <c r="AB38" s="80"/>
    </row>
    <row r="39" spans="2:28" x14ac:dyDescent="0.25">
      <c r="F39" s="100"/>
      <c r="G39" s="82"/>
      <c r="H39" s="82"/>
      <c r="I39" s="82"/>
      <c r="J39" s="82"/>
      <c r="K39" s="82"/>
      <c r="L39" s="82"/>
      <c r="M39" s="82"/>
      <c r="N39" s="82"/>
      <c r="O39" s="82"/>
      <c r="P39" s="82"/>
      <c r="Q39" s="82"/>
      <c r="R39" s="82"/>
      <c r="S39" s="82"/>
      <c r="T39" s="82"/>
      <c r="U39" s="82"/>
      <c r="V39" s="82"/>
      <c r="W39" s="82"/>
      <c r="X39" s="82"/>
      <c r="Y39" s="82"/>
      <c r="Z39" s="82"/>
      <c r="AA39" s="82"/>
      <c r="AB39" s="83"/>
    </row>
    <row r="40" spans="2:28" x14ac:dyDescent="0.25">
      <c r="F40" s="100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82"/>
      <c r="T40" s="82"/>
      <c r="U40" s="82"/>
      <c r="V40" s="82"/>
      <c r="W40" s="82"/>
      <c r="X40" s="82"/>
      <c r="Y40" s="82"/>
      <c r="Z40" s="82"/>
      <c r="AA40" s="82"/>
      <c r="AB40" s="83"/>
    </row>
    <row r="41" spans="2:28" x14ac:dyDescent="0.25">
      <c r="F41" s="100"/>
      <c r="G41" s="82"/>
      <c r="H41" s="82"/>
      <c r="I41" s="82"/>
      <c r="J41" s="82"/>
      <c r="K41" s="82"/>
      <c r="L41" s="82"/>
      <c r="M41" s="82"/>
      <c r="N41" s="82"/>
      <c r="O41" s="82"/>
      <c r="P41" s="82"/>
      <c r="Q41" s="82"/>
      <c r="R41" s="82"/>
      <c r="S41" s="82"/>
      <c r="T41" s="82"/>
      <c r="U41" s="82"/>
      <c r="V41" s="82"/>
      <c r="W41" s="82"/>
      <c r="X41" s="82"/>
      <c r="Y41" s="82"/>
      <c r="Z41" s="82"/>
      <c r="AA41" s="82"/>
      <c r="AB41" s="83"/>
    </row>
    <row r="42" spans="2:28" x14ac:dyDescent="0.25">
      <c r="F42" s="100"/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82"/>
      <c r="R42" s="82"/>
      <c r="S42" s="82"/>
      <c r="T42" s="82"/>
      <c r="U42" s="82"/>
      <c r="V42" s="82"/>
      <c r="W42" s="82"/>
      <c r="X42" s="82"/>
      <c r="Y42" s="82"/>
      <c r="Z42" s="82"/>
      <c r="AA42" s="82"/>
      <c r="AB42" s="83"/>
    </row>
    <row r="43" spans="2:28" x14ac:dyDescent="0.25">
      <c r="F43" s="100"/>
      <c r="G43" s="82"/>
      <c r="H43" s="82"/>
      <c r="I43" s="82"/>
      <c r="J43" s="82"/>
      <c r="K43" s="82"/>
      <c r="L43" s="82"/>
      <c r="M43" s="82"/>
      <c r="N43" s="82"/>
      <c r="O43" s="82"/>
      <c r="P43" s="82"/>
      <c r="Q43" s="82"/>
      <c r="R43" s="82"/>
      <c r="S43" s="82"/>
      <c r="T43" s="82"/>
      <c r="U43" s="82"/>
      <c r="V43" s="82"/>
      <c r="W43" s="82"/>
      <c r="X43" s="82"/>
      <c r="Y43" s="82"/>
      <c r="Z43" s="82"/>
      <c r="AA43" s="82"/>
      <c r="AB43" s="83"/>
    </row>
    <row r="44" spans="2:28" x14ac:dyDescent="0.25">
      <c r="F44" s="100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82"/>
      <c r="U44" s="82"/>
      <c r="V44" s="82"/>
      <c r="W44" s="82"/>
      <c r="X44" s="82"/>
      <c r="Y44" s="82"/>
      <c r="Z44" s="82"/>
      <c r="AA44" s="82"/>
      <c r="AB44" s="83"/>
    </row>
    <row r="45" spans="2:28" x14ac:dyDescent="0.25">
      <c r="F45" s="100"/>
      <c r="G45" s="82"/>
      <c r="H45" s="82"/>
      <c r="I45" s="82"/>
      <c r="J45" s="82"/>
      <c r="K45" s="82"/>
      <c r="L45" s="82"/>
      <c r="M45" s="82"/>
      <c r="N45" s="82"/>
      <c r="O45" s="82"/>
      <c r="P45" s="82"/>
      <c r="Q45" s="82"/>
      <c r="R45" s="82"/>
      <c r="S45" s="82"/>
      <c r="T45" s="82"/>
      <c r="U45" s="82"/>
      <c r="V45" s="82"/>
      <c r="W45" s="82"/>
      <c r="X45" s="82"/>
      <c r="Y45" s="82"/>
      <c r="Z45" s="82"/>
      <c r="AA45" s="82"/>
      <c r="AB45" s="83"/>
    </row>
    <row r="46" spans="2:28" x14ac:dyDescent="0.25">
      <c r="F46" s="100"/>
      <c r="G46" s="82"/>
      <c r="H46" s="82"/>
      <c r="I46" s="82"/>
      <c r="J46" s="82"/>
      <c r="K46" s="82"/>
      <c r="L46" s="82"/>
      <c r="M46" s="82"/>
      <c r="N46" s="82"/>
      <c r="O46" s="82"/>
      <c r="P46" s="82"/>
      <c r="Q46" s="82"/>
      <c r="R46" s="82"/>
      <c r="S46" s="82"/>
      <c r="T46" s="82"/>
      <c r="U46" s="82"/>
      <c r="V46" s="82"/>
      <c r="W46" s="82"/>
      <c r="X46" s="82"/>
      <c r="Y46" s="82"/>
      <c r="Z46" s="82"/>
      <c r="AA46" s="82"/>
      <c r="AB46" s="83"/>
    </row>
    <row r="47" spans="2:28" x14ac:dyDescent="0.25">
      <c r="F47" s="100"/>
      <c r="G47" s="82"/>
      <c r="H47" s="82"/>
      <c r="I47" s="82"/>
      <c r="J47" s="82"/>
      <c r="K47" s="82"/>
      <c r="L47" s="82"/>
      <c r="M47" s="82"/>
      <c r="N47" s="82"/>
      <c r="O47" s="82"/>
      <c r="P47" s="82"/>
      <c r="Q47" s="82"/>
      <c r="R47" s="82"/>
      <c r="S47" s="82"/>
      <c r="T47" s="82"/>
      <c r="U47" s="82"/>
      <c r="V47" s="82"/>
      <c r="W47" s="82"/>
      <c r="X47" s="82"/>
      <c r="Y47" s="82"/>
      <c r="Z47" s="82"/>
      <c r="AA47" s="82"/>
      <c r="AB47" s="83"/>
    </row>
    <row r="48" spans="2:28" x14ac:dyDescent="0.25">
      <c r="F48" s="100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82"/>
      <c r="U48" s="82"/>
      <c r="V48" s="82"/>
      <c r="W48" s="82"/>
      <c r="X48" s="82"/>
      <c r="Y48" s="82"/>
      <c r="Z48" s="82"/>
      <c r="AA48" s="82"/>
      <c r="AB48" s="83"/>
    </row>
    <row r="49" spans="6:28" x14ac:dyDescent="0.25">
      <c r="F49" s="100"/>
      <c r="G49" s="82"/>
      <c r="H49" s="82"/>
      <c r="I49" s="82"/>
      <c r="J49" s="82"/>
      <c r="K49" s="82"/>
      <c r="L49" s="82"/>
      <c r="M49" s="82"/>
      <c r="N49" s="82"/>
      <c r="O49" s="82"/>
      <c r="P49" s="82"/>
      <c r="Q49" s="82"/>
      <c r="R49" s="82"/>
      <c r="S49" s="82"/>
      <c r="T49" s="82"/>
      <c r="U49" s="82"/>
      <c r="V49" s="82"/>
      <c r="W49" s="82"/>
      <c r="X49" s="82"/>
      <c r="Y49" s="82"/>
      <c r="Z49" s="82"/>
      <c r="AA49" s="82"/>
      <c r="AB49" s="83"/>
    </row>
    <row r="50" spans="6:28" x14ac:dyDescent="0.25">
      <c r="F50" s="100"/>
      <c r="G50" s="82"/>
      <c r="H50" s="82"/>
      <c r="I50" s="82"/>
      <c r="J50" s="82"/>
      <c r="K50" s="82"/>
      <c r="L50" s="82"/>
      <c r="M50" s="82"/>
      <c r="N50" s="82"/>
      <c r="O50" s="82"/>
      <c r="P50" s="82"/>
      <c r="Q50" s="82"/>
      <c r="R50" s="82"/>
      <c r="S50" s="82"/>
      <c r="T50" s="82"/>
      <c r="U50" s="82"/>
      <c r="V50" s="82"/>
      <c r="W50" s="82"/>
      <c r="X50" s="82"/>
      <c r="Y50" s="82"/>
      <c r="Z50" s="82"/>
      <c r="AA50" s="82"/>
      <c r="AB50" s="83"/>
    </row>
    <row r="51" spans="6:28" x14ac:dyDescent="0.25">
      <c r="F51" s="100"/>
      <c r="G51" s="82"/>
      <c r="H51" s="82"/>
      <c r="I51" s="82"/>
      <c r="J51" s="82"/>
      <c r="K51" s="82"/>
      <c r="L51" s="82"/>
      <c r="M51" s="82"/>
      <c r="N51" s="82"/>
      <c r="O51" s="82"/>
      <c r="P51" s="82"/>
      <c r="Q51" s="82"/>
      <c r="R51" s="82"/>
      <c r="S51" s="82"/>
      <c r="T51" s="82"/>
      <c r="U51" s="82"/>
      <c r="V51" s="82"/>
      <c r="W51" s="82"/>
      <c r="X51" s="82"/>
      <c r="Y51" s="82"/>
      <c r="Z51" s="82"/>
      <c r="AA51" s="82"/>
      <c r="AB51" s="83"/>
    </row>
    <row r="52" spans="6:28" x14ac:dyDescent="0.25">
      <c r="F52" s="100"/>
      <c r="G52" s="82"/>
      <c r="H52" s="82"/>
      <c r="I52" s="82"/>
      <c r="J52" s="82"/>
      <c r="K52" s="82"/>
      <c r="L52" s="82"/>
      <c r="M52" s="82"/>
      <c r="N52" s="82"/>
      <c r="O52" s="82"/>
      <c r="P52" s="82"/>
      <c r="Q52" s="82"/>
      <c r="R52" s="82"/>
      <c r="S52" s="82"/>
      <c r="T52" s="82"/>
      <c r="U52" s="82"/>
      <c r="V52" s="82"/>
      <c r="W52" s="82"/>
      <c r="X52" s="82"/>
      <c r="Y52" s="82"/>
      <c r="Z52" s="82"/>
      <c r="AA52" s="82"/>
      <c r="AB52" s="83"/>
    </row>
    <row r="53" spans="6:28" x14ac:dyDescent="0.25">
      <c r="F53" s="100"/>
      <c r="G53" s="82"/>
      <c r="H53" s="82"/>
      <c r="I53" s="82"/>
      <c r="J53" s="82"/>
      <c r="K53" s="82"/>
      <c r="L53" s="82"/>
      <c r="M53" s="82"/>
      <c r="N53" s="82"/>
      <c r="O53" s="82"/>
      <c r="P53" s="82"/>
      <c r="Q53" s="82"/>
      <c r="R53" s="82"/>
      <c r="S53" s="82"/>
      <c r="T53" s="82"/>
      <c r="U53" s="82"/>
      <c r="V53" s="82"/>
      <c r="W53" s="82"/>
      <c r="X53" s="82"/>
      <c r="Y53" s="82"/>
      <c r="Z53" s="82"/>
      <c r="AA53" s="82"/>
      <c r="AB53" s="83"/>
    </row>
    <row r="54" spans="6:28" x14ac:dyDescent="0.25">
      <c r="F54" s="100"/>
      <c r="G54" s="82"/>
      <c r="H54" s="82"/>
      <c r="I54" s="82"/>
      <c r="J54" s="82"/>
      <c r="K54" s="82"/>
      <c r="L54" s="82"/>
      <c r="M54" s="82"/>
      <c r="N54" s="82"/>
      <c r="O54" s="82"/>
      <c r="P54" s="82"/>
      <c r="Q54" s="82"/>
      <c r="R54" s="82"/>
      <c r="S54" s="82"/>
      <c r="T54" s="82"/>
      <c r="U54" s="82"/>
      <c r="V54" s="82"/>
      <c r="W54" s="82"/>
      <c r="X54" s="82"/>
      <c r="Y54" s="82"/>
      <c r="Z54" s="82"/>
      <c r="AA54" s="82"/>
      <c r="AB54" s="83"/>
    </row>
    <row r="55" spans="6:28" x14ac:dyDescent="0.25">
      <c r="F55" s="100"/>
      <c r="G55" s="82"/>
      <c r="H55" s="82"/>
      <c r="I55" s="82"/>
      <c r="J55" s="82"/>
      <c r="K55" s="82"/>
      <c r="L55" s="82"/>
      <c r="M55" s="82"/>
      <c r="N55" s="82"/>
      <c r="O55" s="82"/>
      <c r="P55" s="82"/>
      <c r="Q55" s="82"/>
      <c r="R55" s="82"/>
      <c r="S55" s="82"/>
      <c r="T55" s="82"/>
      <c r="U55" s="82"/>
      <c r="V55" s="82"/>
      <c r="W55" s="82"/>
      <c r="X55" s="82"/>
      <c r="Y55" s="82"/>
      <c r="Z55" s="82"/>
      <c r="AA55" s="82"/>
      <c r="AB55" s="83"/>
    </row>
    <row r="56" spans="6:28" x14ac:dyDescent="0.25">
      <c r="F56" s="100"/>
      <c r="G56" s="82"/>
      <c r="H56" s="82"/>
      <c r="I56" s="82"/>
      <c r="J56" s="82"/>
      <c r="K56" s="82"/>
      <c r="L56" s="82"/>
      <c r="M56" s="82"/>
      <c r="N56" s="82"/>
      <c r="O56" s="82"/>
      <c r="P56" s="82"/>
      <c r="Q56" s="82"/>
      <c r="R56" s="82"/>
      <c r="S56" s="82"/>
      <c r="T56" s="82"/>
      <c r="U56" s="82"/>
      <c r="V56" s="82"/>
      <c r="W56" s="82"/>
      <c r="X56" s="82"/>
      <c r="Y56" s="82"/>
      <c r="Z56" s="82"/>
      <c r="AA56" s="82"/>
      <c r="AB56" s="83"/>
    </row>
    <row r="57" spans="6:28" x14ac:dyDescent="0.25">
      <c r="F57" s="100"/>
      <c r="G57" s="82"/>
      <c r="H57" s="82"/>
      <c r="I57" s="82"/>
      <c r="J57" s="82"/>
      <c r="K57" s="82"/>
      <c r="L57" s="82"/>
      <c r="M57" s="82"/>
      <c r="N57" s="82"/>
      <c r="O57" s="82"/>
      <c r="P57" s="82"/>
      <c r="Q57" s="82"/>
      <c r="R57" s="82"/>
      <c r="S57" s="82"/>
      <c r="T57" s="82"/>
      <c r="U57" s="82"/>
      <c r="V57" s="82"/>
      <c r="W57" s="82"/>
      <c r="X57" s="82"/>
      <c r="Y57" s="82"/>
      <c r="Z57" s="82"/>
      <c r="AA57" s="82"/>
      <c r="AB57" s="83"/>
    </row>
    <row r="58" spans="6:28" x14ac:dyDescent="0.25">
      <c r="F58" s="100"/>
      <c r="G58" s="82"/>
      <c r="H58" s="82"/>
      <c r="I58" s="82"/>
      <c r="J58" s="82"/>
      <c r="K58" s="82"/>
      <c r="L58" s="82"/>
      <c r="M58" s="82"/>
      <c r="N58" s="82"/>
      <c r="O58" s="82"/>
      <c r="P58" s="82"/>
      <c r="Q58" s="82"/>
      <c r="R58" s="82"/>
      <c r="S58" s="82"/>
      <c r="T58" s="82"/>
      <c r="U58" s="82"/>
      <c r="V58" s="82"/>
      <c r="W58" s="82"/>
      <c r="X58" s="82"/>
      <c r="Y58" s="82"/>
      <c r="Z58" s="82"/>
      <c r="AA58" s="82"/>
      <c r="AB58" s="83"/>
    </row>
    <row r="59" spans="6:28" x14ac:dyDescent="0.25">
      <c r="F59" s="100"/>
      <c r="G59" s="82"/>
      <c r="H59" s="82"/>
      <c r="I59" s="82"/>
      <c r="J59" s="82"/>
      <c r="K59" s="82"/>
      <c r="L59" s="82"/>
      <c r="M59" s="82"/>
      <c r="N59" s="82"/>
      <c r="O59" s="82"/>
      <c r="P59" s="82"/>
      <c r="Q59" s="82"/>
      <c r="R59" s="82"/>
      <c r="S59" s="82"/>
      <c r="T59" s="82"/>
      <c r="U59" s="82"/>
      <c r="V59" s="82"/>
      <c r="W59" s="82"/>
      <c r="X59" s="82"/>
      <c r="Y59" s="82"/>
      <c r="Z59" s="82"/>
      <c r="AA59" s="82"/>
      <c r="AB59" s="83"/>
    </row>
    <row r="60" spans="6:28" x14ac:dyDescent="0.25">
      <c r="F60" s="100"/>
      <c r="G60" s="82"/>
      <c r="H60" s="82"/>
      <c r="I60" s="82"/>
      <c r="J60" s="82"/>
      <c r="K60" s="82"/>
      <c r="L60" s="82"/>
      <c r="M60" s="82"/>
      <c r="N60" s="82"/>
      <c r="O60" s="82"/>
      <c r="P60" s="82"/>
      <c r="Q60" s="82"/>
      <c r="R60" s="82"/>
      <c r="S60" s="82"/>
      <c r="T60" s="82"/>
      <c r="U60" s="82"/>
      <c r="V60" s="82"/>
      <c r="W60" s="82"/>
      <c r="X60" s="82"/>
      <c r="Y60" s="82"/>
      <c r="Z60" s="82"/>
      <c r="AA60" s="82"/>
      <c r="AB60" s="83"/>
    </row>
    <row r="61" spans="6:28" x14ac:dyDescent="0.25">
      <c r="F61" s="100"/>
      <c r="G61" s="82"/>
      <c r="H61" s="82"/>
      <c r="I61" s="82"/>
      <c r="J61" s="82"/>
      <c r="K61" s="82"/>
      <c r="L61" s="82"/>
      <c r="M61" s="82"/>
      <c r="N61" s="82"/>
      <c r="O61" s="82"/>
      <c r="P61" s="82"/>
      <c r="Q61" s="82"/>
      <c r="R61" s="82"/>
      <c r="S61" s="82"/>
      <c r="T61" s="82"/>
      <c r="U61" s="82"/>
      <c r="V61" s="82"/>
      <c r="W61" s="82"/>
      <c r="X61" s="82"/>
      <c r="Y61" s="82"/>
      <c r="Z61" s="82"/>
      <c r="AA61" s="82"/>
      <c r="AB61" s="83"/>
    </row>
    <row r="62" spans="6:28" x14ac:dyDescent="0.25">
      <c r="F62" s="100"/>
      <c r="G62" s="82"/>
      <c r="H62" s="82"/>
      <c r="I62" s="82"/>
      <c r="J62" s="82"/>
      <c r="K62" s="82"/>
      <c r="L62" s="82"/>
      <c r="M62" s="82"/>
      <c r="N62" s="82"/>
      <c r="O62" s="82"/>
      <c r="P62" s="82"/>
      <c r="Q62" s="82"/>
      <c r="R62" s="82"/>
      <c r="S62" s="82"/>
      <c r="T62" s="82"/>
      <c r="U62" s="82"/>
      <c r="V62" s="82"/>
      <c r="W62" s="82"/>
      <c r="X62" s="82"/>
      <c r="Y62" s="82"/>
      <c r="Z62" s="82"/>
      <c r="AA62" s="82"/>
      <c r="AB62" s="83"/>
    </row>
    <row r="63" spans="6:28" x14ac:dyDescent="0.25">
      <c r="F63" s="100"/>
      <c r="G63" s="82"/>
      <c r="H63" s="82"/>
      <c r="I63" s="82"/>
      <c r="J63" s="82"/>
      <c r="K63" s="82"/>
      <c r="L63" s="82"/>
      <c r="M63" s="82"/>
      <c r="N63" s="82"/>
      <c r="O63" s="82"/>
      <c r="P63" s="82"/>
      <c r="Q63" s="82"/>
      <c r="R63" s="82"/>
      <c r="S63" s="82"/>
      <c r="T63" s="82"/>
      <c r="U63" s="82"/>
      <c r="V63" s="82"/>
      <c r="W63" s="82"/>
      <c r="X63" s="82"/>
      <c r="Y63" s="82"/>
      <c r="Z63" s="82"/>
      <c r="AA63" s="82"/>
      <c r="AB63" s="83"/>
    </row>
    <row r="64" spans="6:28" x14ac:dyDescent="0.25">
      <c r="F64" s="100"/>
      <c r="G64" s="82"/>
      <c r="H64" s="82"/>
      <c r="I64" s="82"/>
      <c r="J64" s="82"/>
      <c r="K64" s="82"/>
      <c r="L64" s="82"/>
      <c r="M64" s="82"/>
      <c r="N64" s="82"/>
      <c r="O64" s="82"/>
      <c r="P64" s="82"/>
      <c r="Q64" s="82"/>
      <c r="R64" s="82"/>
      <c r="S64" s="82"/>
      <c r="T64" s="82"/>
      <c r="U64" s="82"/>
      <c r="V64" s="82"/>
      <c r="W64" s="82"/>
      <c r="X64" s="82"/>
      <c r="Y64" s="82"/>
      <c r="Z64" s="82"/>
      <c r="AA64" s="82"/>
      <c r="AB64" s="83"/>
    </row>
    <row r="65" spans="6:28" x14ac:dyDescent="0.25">
      <c r="F65" s="100"/>
      <c r="G65" s="82"/>
      <c r="H65" s="82"/>
      <c r="I65" s="82"/>
      <c r="J65" s="82"/>
      <c r="K65" s="82"/>
      <c r="L65" s="82"/>
      <c r="M65" s="82"/>
      <c r="N65" s="82"/>
      <c r="O65" s="82"/>
      <c r="P65" s="82"/>
      <c r="Q65" s="82"/>
      <c r="R65" s="82"/>
      <c r="S65" s="82"/>
      <c r="T65" s="82"/>
      <c r="U65" s="82"/>
      <c r="V65" s="82"/>
      <c r="W65" s="82"/>
      <c r="X65" s="82"/>
      <c r="Y65" s="82"/>
      <c r="Z65" s="82"/>
      <c r="AA65" s="82"/>
      <c r="AB65" s="83"/>
    </row>
    <row r="66" spans="6:28" x14ac:dyDescent="0.25">
      <c r="F66" s="100"/>
      <c r="G66" s="82"/>
      <c r="H66" s="82"/>
      <c r="I66" s="82"/>
      <c r="J66" s="82"/>
      <c r="K66" s="82"/>
      <c r="L66" s="82"/>
      <c r="M66" s="82"/>
      <c r="N66" s="82"/>
      <c r="O66" s="82"/>
      <c r="P66" s="82"/>
      <c r="Q66" s="82"/>
      <c r="R66" s="82"/>
      <c r="S66" s="82"/>
      <c r="T66" s="82"/>
      <c r="U66" s="82"/>
      <c r="V66" s="82"/>
      <c r="W66" s="82"/>
      <c r="X66" s="82"/>
      <c r="Y66" s="82"/>
      <c r="Z66" s="82"/>
      <c r="AA66" s="82"/>
      <c r="AB66" s="83"/>
    </row>
    <row r="67" spans="6:28" x14ac:dyDescent="0.25">
      <c r="F67" s="100"/>
      <c r="G67" s="82"/>
      <c r="H67" s="82"/>
      <c r="I67" s="82"/>
      <c r="J67" s="82"/>
      <c r="K67" s="82"/>
      <c r="L67" s="82"/>
      <c r="M67" s="82"/>
      <c r="N67" s="82"/>
      <c r="O67" s="82"/>
      <c r="P67" s="82"/>
      <c r="Q67" s="82"/>
      <c r="R67" s="82"/>
      <c r="S67" s="82"/>
      <c r="T67" s="82"/>
      <c r="U67" s="82"/>
      <c r="V67" s="82"/>
      <c r="W67" s="82"/>
      <c r="X67" s="82"/>
      <c r="Y67" s="82"/>
      <c r="Z67" s="82"/>
      <c r="AA67" s="82"/>
      <c r="AB67" s="83"/>
    </row>
    <row r="68" spans="6:28" x14ac:dyDescent="0.25">
      <c r="F68" s="100"/>
      <c r="G68" s="82"/>
      <c r="H68" s="82"/>
      <c r="I68" s="82"/>
      <c r="J68" s="82"/>
      <c r="K68" s="82"/>
      <c r="L68" s="82"/>
      <c r="M68" s="82"/>
      <c r="N68" s="82"/>
      <c r="O68" s="82"/>
      <c r="P68" s="82"/>
      <c r="Q68" s="82"/>
      <c r="R68" s="82"/>
      <c r="S68" s="82"/>
      <c r="T68" s="82"/>
      <c r="U68" s="82"/>
      <c r="V68" s="82"/>
      <c r="W68" s="82"/>
      <c r="X68" s="82"/>
      <c r="Y68" s="82"/>
      <c r="Z68" s="82"/>
      <c r="AA68" s="82"/>
      <c r="AB68" s="83"/>
    </row>
    <row r="69" spans="6:28" x14ac:dyDescent="0.25">
      <c r="F69" s="100"/>
      <c r="G69" s="82"/>
      <c r="H69" s="82"/>
      <c r="I69" s="82"/>
      <c r="J69" s="82"/>
      <c r="K69" s="82"/>
      <c r="L69" s="82"/>
      <c r="M69" s="82"/>
      <c r="N69" s="82"/>
      <c r="O69" s="82"/>
      <c r="P69" s="82"/>
      <c r="Q69" s="82"/>
      <c r="R69" s="82"/>
      <c r="S69" s="82"/>
      <c r="T69" s="82"/>
      <c r="U69" s="82"/>
      <c r="V69" s="82"/>
      <c r="W69" s="82"/>
      <c r="X69" s="82"/>
      <c r="Y69" s="82"/>
      <c r="Z69" s="82"/>
      <c r="AA69" s="82"/>
      <c r="AB69" s="83"/>
    </row>
    <row r="70" spans="6:28" x14ac:dyDescent="0.25">
      <c r="F70" s="100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82"/>
      <c r="U70" s="82"/>
      <c r="V70" s="82"/>
      <c r="W70" s="82"/>
      <c r="X70" s="82"/>
      <c r="Y70" s="82"/>
      <c r="Z70" s="82"/>
      <c r="AA70" s="82"/>
      <c r="AB70" s="83"/>
    </row>
    <row r="71" spans="6:28" x14ac:dyDescent="0.25">
      <c r="F71" s="100"/>
      <c r="G71" s="82"/>
      <c r="H71" s="82"/>
      <c r="I71" s="82"/>
      <c r="J71" s="82"/>
      <c r="K71" s="82"/>
      <c r="L71" s="82"/>
      <c r="M71" s="82"/>
      <c r="N71" s="82"/>
      <c r="O71" s="82"/>
      <c r="P71" s="82"/>
      <c r="Q71" s="82"/>
      <c r="R71" s="82"/>
      <c r="S71" s="82"/>
      <c r="T71" s="82"/>
      <c r="U71" s="82"/>
      <c r="V71" s="82"/>
      <c r="W71" s="82"/>
      <c r="X71" s="82"/>
      <c r="Y71" s="82"/>
      <c r="Z71" s="82"/>
      <c r="AA71" s="82"/>
      <c r="AB71" s="83"/>
    </row>
    <row r="72" spans="6:28" x14ac:dyDescent="0.25">
      <c r="F72" s="100"/>
      <c r="G72" s="82"/>
      <c r="H72" s="82"/>
      <c r="I72" s="82"/>
      <c r="J72" s="82"/>
      <c r="K72" s="82"/>
      <c r="L72" s="82"/>
      <c r="M72" s="82"/>
      <c r="N72" s="82"/>
      <c r="O72" s="82"/>
      <c r="P72" s="82"/>
      <c r="Q72" s="82"/>
      <c r="R72" s="82"/>
      <c r="S72" s="82"/>
      <c r="T72" s="82"/>
      <c r="U72" s="82"/>
      <c r="V72" s="82"/>
      <c r="W72" s="82"/>
      <c r="X72" s="82"/>
      <c r="Y72" s="82"/>
      <c r="Z72" s="82"/>
      <c r="AA72" s="82"/>
      <c r="AB72" s="83"/>
    </row>
    <row r="73" spans="6:28" ht="15.75" thickBot="1" x14ac:dyDescent="0.3">
      <c r="F73" s="101"/>
      <c r="G73" s="87"/>
      <c r="H73" s="87"/>
      <c r="I73" s="87"/>
      <c r="J73" s="87"/>
      <c r="K73" s="87"/>
      <c r="L73" s="87"/>
      <c r="M73" s="87"/>
      <c r="N73" s="87"/>
      <c r="O73" s="87"/>
      <c r="P73" s="87"/>
      <c r="Q73" s="87"/>
      <c r="R73" s="87"/>
      <c r="S73" s="87"/>
      <c r="T73" s="87"/>
      <c r="U73" s="87"/>
      <c r="V73" s="87"/>
      <c r="W73" s="87"/>
      <c r="X73" s="87"/>
      <c r="Y73" s="87"/>
      <c r="Z73" s="87"/>
      <c r="AA73" s="87"/>
      <c r="AB73" s="88"/>
    </row>
  </sheetData>
  <mergeCells count="16">
    <mergeCell ref="B16:B18"/>
    <mergeCell ref="B19:C19"/>
    <mergeCell ref="B2:B3"/>
    <mergeCell ref="C2:C3"/>
    <mergeCell ref="D2:D3"/>
    <mergeCell ref="B4:B5"/>
    <mergeCell ref="B6:B10"/>
    <mergeCell ref="B11:B15"/>
    <mergeCell ref="B25:C25"/>
    <mergeCell ref="B26:C26"/>
    <mergeCell ref="B27:C27"/>
    <mergeCell ref="B28:C28"/>
    <mergeCell ref="D21:D22"/>
    <mergeCell ref="B24:C24"/>
    <mergeCell ref="B21:C22"/>
    <mergeCell ref="B23:C2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B110"/>
  <sheetViews>
    <sheetView showGridLines="0" workbookViewId="0">
      <selection activeCell="D34" sqref="D34"/>
    </sheetView>
  </sheetViews>
  <sheetFormatPr defaultRowHeight="15" x14ac:dyDescent="0.25"/>
  <cols>
    <col min="1" max="1" width="2.42578125" customWidth="1"/>
    <col min="2" max="2" width="14.7109375" style="15" customWidth="1"/>
    <col min="3" max="3" width="10.7109375" style="15" customWidth="1"/>
    <col min="4" max="5" width="16.7109375" style="1" customWidth="1"/>
    <col min="6" max="6" width="2.42578125" customWidth="1"/>
  </cols>
  <sheetData>
    <row r="1" spans="1:12" ht="15.75" thickBot="1" x14ac:dyDescent="0.3"/>
    <row r="2" spans="1:12" x14ac:dyDescent="0.25">
      <c r="B2" s="128" t="s">
        <v>202</v>
      </c>
      <c r="C2" s="128" t="s">
        <v>2</v>
      </c>
      <c r="D2" s="133" t="s">
        <v>3</v>
      </c>
      <c r="E2" s="133" t="s">
        <v>204</v>
      </c>
    </row>
    <row r="3" spans="1:12" ht="15.75" customHeight="1" thickBot="1" x14ac:dyDescent="0.3">
      <c r="B3" s="129"/>
      <c r="C3" s="129"/>
      <c r="D3" s="135"/>
      <c r="E3" s="135"/>
    </row>
    <row r="4" spans="1:12" x14ac:dyDescent="0.25">
      <c r="A4" s="69"/>
      <c r="B4" s="141" t="s">
        <v>201</v>
      </c>
      <c r="C4" s="58" t="s">
        <v>16</v>
      </c>
      <c r="D4" s="61">
        <f>SUM(SUMIF('Raw Data'!$H$5:$H$514,{"B"}, 'Raw Data'!$I$5:$I$514))</f>
        <v>378761.24000000005</v>
      </c>
      <c r="E4" s="61">
        <f>SUM(SUMIF('Raw Data'!$H$5:$H$514,{"B"}, 'Raw Data'!$I$5:$I$514))/SUM(COUNTIF('Raw Data'!$H$5:$H$514,{"B"}))</f>
        <v>10236.790270270272</v>
      </c>
      <c r="L4" s="6">
        <f>SUM('Product Revenue Analysis'!D4)</f>
        <v>378761.24000000005</v>
      </c>
    </row>
    <row r="5" spans="1:12" ht="15.75" thickBot="1" x14ac:dyDescent="0.3">
      <c r="A5" s="69"/>
      <c r="B5" s="142"/>
      <c r="C5" s="59" t="s">
        <v>18</v>
      </c>
      <c r="D5" s="64">
        <f>SUM(SUMIF('Raw Data'!$H$5:$H$514,{"K"}, 'Raw Data'!$I$5:$I$514))</f>
        <v>1031874.26</v>
      </c>
      <c r="E5" s="64">
        <f>SUM(SUMIF('Raw Data'!$H$5:$H$514,{"K"}, 'Raw Data'!$I$5:$I$514))/SUM(COUNTIF('Raw Data'!$H$5:$H$514,{"K"}))</f>
        <v>33286.266451612901</v>
      </c>
    </row>
    <row r="6" spans="1:12" x14ac:dyDescent="0.25">
      <c r="A6" s="69"/>
      <c r="B6" s="143" t="s">
        <v>200</v>
      </c>
      <c r="C6" s="58" t="s">
        <v>33</v>
      </c>
      <c r="D6" s="61">
        <f>SUM(SUMIF('Raw Data'!$H$5:$H$514,{"FP","FP-LC","FP-IR","FP-VP","FP-OP"}, 'Raw Data'!$I$5:$I$514))</f>
        <v>72349.56</v>
      </c>
      <c r="E6" s="61">
        <f>SUM(SUMIF('Raw Data'!$H$5:$H$514,{"FP","FP-LC","FP-IR","FP-VP","FP-OP"}, 'Raw Data'!$I$5:$I$514))/SUM(COUNTIF('Raw Data'!$H$5:$H$514,{"FP","FP-LC","FP-IR","FP-VP","FP-OP"}))</f>
        <v>9043.6949999999997</v>
      </c>
    </row>
    <row r="7" spans="1:12" x14ac:dyDescent="0.25">
      <c r="A7" s="69"/>
      <c r="B7" s="144"/>
      <c r="C7" s="53" t="s">
        <v>14</v>
      </c>
      <c r="D7" s="63">
        <f>SUM(SUMIF('Raw Data'!$H$5:$H$514,{"IR","IR-LC","IR-FP","IR-VP","IR-OP","IR-Sky"}, 'Raw Data'!$I$5:$I$514))</f>
        <v>404821.97</v>
      </c>
      <c r="E7" s="63">
        <f>SUM(SUMIF('Raw Data'!$H$5:$H$514,{"IR","IR-LC","IR-FP","IR-VP","IR-OP","IR-Sky"}, 'Raw Data'!$I$5:$I$514))/SUM(COUNTIF('Raw Data'!$H$5:$H$514,{"IR","IR-LC","IR-FP","IR-VP","IR-OP","IR-Sky"}))</f>
        <v>13494.065666666665</v>
      </c>
    </row>
    <row r="8" spans="1:12" x14ac:dyDescent="0.25">
      <c r="A8" s="69"/>
      <c r="B8" s="144"/>
      <c r="C8" s="53" t="s">
        <v>19</v>
      </c>
      <c r="D8" s="63">
        <f>SUM(SUMIF('Raw Data'!$H$5:$H$514,{"LC","LC-IR","LC-FP","LC-VP","LC-OP","LC-Sky"}, 'Raw Data'!$I$5:$I$514))</f>
        <v>165171.72999999998</v>
      </c>
      <c r="E8" s="64">
        <f>SUM(SUMIF('Raw Data'!$H$5:$H$514,{"LC","LC-IR","LC-FP","LC-VP","LC-OP","LC-Sky"}, 'Raw Data'!$I$5:$I$514))/SUM(COUNTIF('Raw Data'!$H$5:$H$514,{"LC","LC-IR","LC-FP","LC-VP","LC-OP","LC-Sky"}))</f>
        <v>9715.9841176470582</v>
      </c>
    </row>
    <row r="9" spans="1:12" x14ac:dyDescent="0.25">
      <c r="A9" s="69"/>
      <c r="B9" s="144"/>
      <c r="C9" s="53" t="s">
        <v>21</v>
      </c>
      <c r="D9" s="63">
        <f>SUM(SUMIF('Raw Data'!$H$5:$H$514,{"OP","OP-IR"}, 'Raw Data'!$I$5:$I$514))</f>
        <v>56306.520000000004</v>
      </c>
      <c r="E9" s="63">
        <f>SUM(SUMIF('Raw Data'!$H$5:$H$514,{"OP","OP-IR"}, 'Raw Data'!$I$5:$I$514))/SUM(COUNTIF('Raw Data'!$H$5:$H$514,{"OP","OP-IR"}))</f>
        <v>28153.260000000002</v>
      </c>
    </row>
    <row r="10" spans="1:12" ht="15.75" thickBot="1" x14ac:dyDescent="0.3">
      <c r="A10" s="69"/>
      <c r="B10" s="145"/>
      <c r="C10" s="59" t="s">
        <v>24</v>
      </c>
      <c r="D10" s="64">
        <f>SUM(SUMIF('Raw Data'!$H$5:$H$514,{"VP","VP-IR","VP-FP","VP-OP","VP-LC"}, 'Raw Data'!$I$5:$I$514))</f>
        <v>22962.339999999997</v>
      </c>
      <c r="E10" s="62">
        <f>SUM(SUMIF('Raw Data'!$H$5:$H$514,{"VP","VP-IR","VP-FP","VP-OP","VP-LC"}, 'Raw Data'!$I$5:$I$514))/SUM(COUNTIF('Raw Data'!$H$5:$H$514,{"VP","VP-IR","VP-FP","VP-OP","VP-LC"}))</f>
        <v>5740.5849999999991</v>
      </c>
    </row>
    <row r="11" spans="1:12" x14ac:dyDescent="0.25">
      <c r="A11" s="69"/>
      <c r="B11" s="146" t="s">
        <v>198</v>
      </c>
      <c r="C11" s="58" t="s">
        <v>194</v>
      </c>
      <c r="D11" s="61">
        <f>SUM(SUMIF('Raw Data'!$H$5:$H$514,{"SR-206","SR-206-Sky"}, 'Raw Data'!$I$5:$I$514))</f>
        <v>91786.44</v>
      </c>
      <c r="E11" s="61">
        <f>SUM(SUMIF('Raw Data'!$H$5:$H$514,{"SR-206","SR-206-Sky"}, 'Raw Data'!$I$5:$I$514))/SUM(COUNTIF('Raw Data'!$H$5:$H$514,{"SR-206","SR-206-Sky"}))</f>
        <v>22946.61</v>
      </c>
    </row>
    <row r="12" spans="1:12" x14ac:dyDescent="0.25">
      <c r="A12" s="69"/>
      <c r="B12" s="147"/>
      <c r="C12" s="53" t="s">
        <v>193</v>
      </c>
      <c r="D12" s="63">
        <f>SUM(SUMIF('Raw Data'!$H$5:$H$514,{"SR-306","SR-306-Sky"}, 'Raw Data'!$I$5:$I$514))</f>
        <v>355321.75000000006</v>
      </c>
      <c r="E12" s="63">
        <f>SUM(SUMIF('Raw Data'!$H$5:$H$514,{"SR-306","SR-306-Sky"}, 'Raw Data'!$I$5:$I$514))/SUM(COUNTIF('Raw Data'!$H$5:$H$514,{"SR-306","SR-306-Sky"}))</f>
        <v>35532.175000000003</v>
      </c>
    </row>
    <row r="13" spans="1:12" x14ac:dyDescent="0.25">
      <c r="A13" s="69"/>
      <c r="B13" s="147"/>
      <c r="C13" s="53" t="s">
        <v>195</v>
      </c>
      <c r="D13" s="63">
        <f>SUM(SUMIF('Raw Data'!$H$5:$H$514,{"SR-406","SR-406-Sky"}, 'Raw Data'!$I$5:$I$514))</f>
        <v>397237.51</v>
      </c>
      <c r="E13" s="63">
        <f>SUM(SUMIF('Raw Data'!$H$5:$H$514,{"SR-406","SR-406-Sky"}, 'Raw Data'!$I$5:$I$514))/SUM(COUNTIF('Raw Data'!$H$5:$H$514,{"SR-406","SR-406-Sky"}))</f>
        <v>39723.751000000004</v>
      </c>
    </row>
    <row r="14" spans="1:12" x14ac:dyDescent="0.25">
      <c r="A14" s="69"/>
      <c r="B14" s="147"/>
      <c r="C14" s="53" t="s">
        <v>192</v>
      </c>
      <c r="D14" s="63">
        <f>SUM(SUMIF('Raw Data'!$H$5:$H$514,{"SR-VV"}, 'Raw Data'!$I$5:$I$514))</f>
        <v>136559.76999999999</v>
      </c>
      <c r="E14" s="63">
        <f>SUM(SUMIF('Raw Data'!$H$5:$H$514,{"SR-VV"}, 'Raw Data'!$I$5:$I$514))/SUM(COUNTIF('Raw Data'!$H$5:$H$514,{"SR-VV"}))</f>
        <v>19508.538571428569</v>
      </c>
    </row>
    <row r="15" spans="1:12" ht="15.75" thickBot="1" x14ac:dyDescent="0.3">
      <c r="B15" s="148"/>
      <c r="C15" s="59" t="s">
        <v>196</v>
      </c>
      <c r="D15" s="64">
        <f>SUM(SUMIF('Raw Data'!$H$5:$H$514,{"SCR-WO"}, 'Raw Data'!$I$5:$I$514))</f>
        <v>7614.63</v>
      </c>
      <c r="E15" s="62">
        <f>SUM(SUMIF('Raw Data'!$H$5:$H$514,{"SCR-WO"}, 'Raw Data'!$I$5:$I$514))/SUM(COUNTIF('Raw Data'!$H$5:$H$514,{"SCR-WO"}))</f>
        <v>7614.63</v>
      </c>
    </row>
    <row r="16" spans="1:12" x14ac:dyDescent="0.25">
      <c r="B16" s="138" t="s">
        <v>199</v>
      </c>
      <c r="C16" s="58" t="s">
        <v>223</v>
      </c>
      <c r="D16" s="61">
        <f>SUM(SUMIF('Raw Data'!$H$5:$H$514,{"D"}, 'Raw Data'!$I$5:$I$514))</f>
        <v>40153.590000000004</v>
      </c>
      <c r="E16" s="64">
        <f>SUM(SUMIF('Raw Data'!$H$5:$H$514,{"D"}, 'Raw Data'!$I$5:$I$514))/SUM(COUNTIF('Raw Data'!$H$5:$H$514,{"D"}))</f>
        <v>8030.7180000000008</v>
      </c>
    </row>
    <row r="17" spans="2:5" x14ac:dyDescent="0.25">
      <c r="B17" s="139"/>
      <c r="C17" s="54" t="s">
        <v>13</v>
      </c>
      <c r="D17" s="63">
        <f>SUM(SUMIF('Raw Data'!$H$5:$H$514,{"W (A)"}, 'Raw Data'!$I$5:$I$514))</f>
        <v>234737.68</v>
      </c>
      <c r="E17" s="63">
        <f>SUM(SUMIF('Raw Data'!$H$5:$H$514,{"W (A)"}, 'Raw Data'!$I$5:$I$514))/SUM(COUNTIF('Raw Data'!$H$5:$H$514,{"W (A)"}))</f>
        <v>8094.4027586206894</v>
      </c>
    </row>
    <row r="18" spans="2:5" ht="15.75" thickBot="1" x14ac:dyDescent="0.3">
      <c r="B18" s="140"/>
      <c r="C18" s="59" t="s">
        <v>20</v>
      </c>
      <c r="D18" s="64">
        <f>SUM(SUMIF('Raw Data'!$H$5:$H$514,{"W"}, 'Raw Data'!$I$5:$I$514))</f>
        <v>274451.45</v>
      </c>
      <c r="E18" s="63">
        <f>SUM(SUMIF('Raw Data'!$H$5:$H$514,{"W"}, 'Raw Data'!$I$5:$I$514))/SUM(COUNTIF('Raw Data'!$H$5:$H$514,{"W"}))</f>
        <v>21111.65</v>
      </c>
    </row>
    <row r="19" spans="2:5" ht="15.75" customHeight="1" thickBot="1" x14ac:dyDescent="0.3">
      <c r="B19" s="126" t="s">
        <v>197</v>
      </c>
      <c r="C19" s="127"/>
      <c r="D19" s="68">
        <f>SUM(D4:D18)</f>
        <v>3670110.4399999995</v>
      </c>
      <c r="E19" s="68">
        <f>AVERAGE(E4:E18)</f>
        <v>18148.874789083078</v>
      </c>
    </row>
    <row r="20" spans="2:5" ht="15.75" thickBot="1" x14ac:dyDescent="0.3"/>
    <row r="21" spans="2:5" ht="15" customHeight="1" x14ac:dyDescent="0.25">
      <c r="B21" s="132" t="s">
        <v>218</v>
      </c>
      <c r="C21" s="133"/>
      <c r="D21" s="133" t="s">
        <v>3</v>
      </c>
      <c r="E21" s="133" t="s">
        <v>204</v>
      </c>
    </row>
    <row r="22" spans="2:5" ht="15.75" customHeight="1" thickBot="1" x14ac:dyDescent="0.3">
      <c r="B22" s="134"/>
      <c r="C22" s="135"/>
      <c r="D22" s="135"/>
      <c r="E22" s="135"/>
    </row>
    <row r="23" spans="2:5" ht="15.75" thickBot="1" x14ac:dyDescent="0.3">
      <c r="B23" s="136" t="s">
        <v>224</v>
      </c>
      <c r="C23" s="150"/>
      <c r="D23" s="98">
        <f>D4</f>
        <v>378761.24000000005</v>
      </c>
      <c r="E23" s="98">
        <f>E4</f>
        <v>10236.790270270272</v>
      </c>
    </row>
    <row r="24" spans="2:5" ht="15.75" thickBot="1" x14ac:dyDescent="0.3">
      <c r="B24" s="130" t="s">
        <v>225</v>
      </c>
      <c r="C24" s="155"/>
      <c r="D24" s="98">
        <f>D5</f>
        <v>1031874.26</v>
      </c>
      <c r="E24" s="98">
        <f>E5</f>
        <v>33286.266451612901</v>
      </c>
    </row>
    <row r="25" spans="2:5" ht="15.75" thickBot="1" x14ac:dyDescent="0.3">
      <c r="B25" s="151" t="s">
        <v>200</v>
      </c>
      <c r="C25" s="152"/>
      <c r="D25" s="64">
        <f>SUM(D6:D10)</f>
        <v>721612.12</v>
      </c>
      <c r="E25" s="64">
        <f>AVERAGE(E6:E10)</f>
        <v>13229.517956862745</v>
      </c>
    </row>
    <row r="26" spans="2:5" ht="15.75" thickBot="1" x14ac:dyDescent="0.3">
      <c r="B26" s="122" t="s">
        <v>198</v>
      </c>
      <c r="C26" s="153"/>
      <c r="D26" s="98">
        <f>SUM(D11:D15)</f>
        <v>988520.10000000009</v>
      </c>
      <c r="E26" s="98">
        <f>AVERAGE(E11:E15)</f>
        <v>25065.140914285716</v>
      </c>
    </row>
    <row r="27" spans="2:5" ht="15.75" thickBot="1" x14ac:dyDescent="0.3">
      <c r="B27" s="124" t="s">
        <v>199</v>
      </c>
      <c r="C27" s="154"/>
      <c r="D27" s="98">
        <f>SUM(D16:D18)</f>
        <v>549342.71999999997</v>
      </c>
      <c r="E27" s="98">
        <f>AVERAGE(E16:E18)</f>
        <v>12412.256919540232</v>
      </c>
    </row>
    <row r="28" spans="2:5" x14ac:dyDescent="0.25">
      <c r="B28" s="95"/>
      <c r="C28" s="96"/>
      <c r="D28" s="92"/>
      <c r="E28" s="92"/>
    </row>
    <row r="29" spans="2:5" x14ac:dyDescent="0.25">
      <c r="B29" s="95"/>
      <c r="C29" s="96"/>
      <c r="D29" s="92"/>
      <c r="E29" s="92"/>
    </row>
    <row r="33" spans="2:5" x14ac:dyDescent="0.25">
      <c r="B33" s="95"/>
      <c r="C33" s="96"/>
      <c r="D33" s="92"/>
      <c r="E33" s="92"/>
    </row>
    <row r="34" spans="2:5" x14ac:dyDescent="0.25">
      <c r="B34" s="95"/>
      <c r="C34" s="96"/>
      <c r="D34" s="92"/>
      <c r="E34" s="92"/>
    </row>
    <row r="35" spans="2:5" x14ac:dyDescent="0.25">
      <c r="B35" s="95"/>
      <c r="C35" s="96"/>
      <c r="D35" s="92"/>
      <c r="E35" s="92"/>
    </row>
    <row r="36" spans="2:5" x14ac:dyDescent="0.25">
      <c r="B36" s="95"/>
      <c r="C36" s="96"/>
      <c r="D36" s="92"/>
      <c r="E36" s="92"/>
    </row>
    <row r="37" spans="2:5" x14ac:dyDescent="0.25">
      <c r="B37" s="95"/>
      <c r="C37" s="96"/>
      <c r="D37" s="92"/>
      <c r="E37" s="92"/>
    </row>
    <row r="38" spans="2:5" ht="15.75" x14ac:dyDescent="0.25">
      <c r="B38" s="149"/>
      <c r="C38" s="149"/>
      <c r="D38" s="97"/>
      <c r="E38" s="97"/>
    </row>
    <row r="39" spans="2:5" x14ac:dyDescent="0.25">
      <c r="C39" s="66"/>
      <c r="D39" s="67"/>
      <c r="E39" s="67"/>
    </row>
    <row r="40" spans="2:5" x14ac:dyDescent="0.25">
      <c r="C40" s="66"/>
      <c r="D40" s="67"/>
      <c r="E40" s="67"/>
    </row>
    <row r="74" spans="7:28" ht="15.75" thickBot="1" x14ac:dyDescent="0.3"/>
    <row r="75" spans="7:28" x14ac:dyDescent="0.25">
      <c r="G75" s="99"/>
      <c r="H75" s="79"/>
      <c r="I75" s="79"/>
      <c r="J75" s="79"/>
      <c r="K75" s="79"/>
      <c r="L75" s="79"/>
      <c r="M75" s="79"/>
      <c r="N75" s="79"/>
      <c r="O75" s="79"/>
      <c r="P75" s="79"/>
      <c r="Q75" s="79"/>
      <c r="R75" s="79"/>
      <c r="S75" s="79"/>
      <c r="T75" s="79"/>
      <c r="U75" s="79"/>
      <c r="V75" s="79"/>
      <c r="W75" s="79"/>
      <c r="X75" s="79"/>
      <c r="Y75" s="79"/>
      <c r="Z75" s="79"/>
      <c r="AA75" s="79"/>
      <c r="AB75" s="80"/>
    </row>
    <row r="76" spans="7:28" x14ac:dyDescent="0.25">
      <c r="G76" s="100"/>
      <c r="H76" s="82"/>
      <c r="I76" s="82"/>
      <c r="J76" s="82"/>
      <c r="K76" s="82"/>
      <c r="L76" s="82"/>
      <c r="M76" s="82"/>
      <c r="N76" s="82"/>
      <c r="O76" s="82"/>
      <c r="P76" s="82"/>
      <c r="Q76" s="82"/>
      <c r="R76" s="82"/>
      <c r="S76" s="82"/>
      <c r="T76" s="82"/>
      <c r="U76" s="82"/>
      <c r="V76" s="82"/>
      <c r="W76" s="82"/>
      <c r="X76" s="82"/>
      <c r="Y76" s="82"/>
      <c r="Z76" s="82"/>
      <c r="AA76" s="82"/>
      <c r="AB76" s="83"/>
    </row>
    <row r="77" spans="7:28" x14ac:dyDescent="0.25">
      <c r="G77" s="100"/>
      <c r="H77" s="82"/>
      <c r="I77" s="82"/>
      <c r="J77" s="82"/>
      <c r="K77" s="82"/>
      <c r="L77" s="82"/>
      <c r="M77" s="82"/>
      <c r="N77" s="82"/>
      <c r="O77" s="82"/>
      <c r="P77" s="82"/>
      <c r="Q77" s="82"/>
      <c r="R77" s="82"/>
      <c r="S77" s="82"/>
      <c r="T77" s="82"/>
      <c r="U77" s="82"/>
      <c r="V77" s="82"/>
      <c r="W77" s="82"/>
      <c r="X77" s="82"/>
      <c r="Y77" s="82"/>
      <c r="Z77" s="82"/>
      <c r="AA77" s="82"/>
      <c r="AB77" s="83"/>
    </row>
    <row r="78" spans="7:28" x14ac:dyDescent="0.25">
      <c r="G78" s="100"/>
      <c r="H78" s="82"/>
      <c r="I78" s="82"/>
      <c r="J78" s="82"/>
      <c r="K78" s="82"/>
      <c r="L78" s="82"/>
      <c r="M78" s="82"/>
      <c r="N78" s="82"/>
      <c r="O78" s="82"/>
      <c r="P78" s="82"/>
      <c r="Q78" s="82"/>
      <c r="R78" s="82"/>
      <c r="S78" s="82"/>
      <c r="T78" s="82"/>
      <c r="U78" s="82"/>
      <c r="V78" s="82"/>
      <c r="W78" s="82"/>
      <c r="X78" s="82"/>
      <c r="Y78" s="82"/>
      <c r="Z78" s="82"/>
      <c r="AA78" s="82"/>
      <c r="AB78" s="83"/>
    </row>
    <row r="79" spans="7:28" x14ac:dyDescent="0.25">
      <c r="G79" s="100"/>
      <c r="H79" s="82"/>
      <c r="I79" s="82"/>
      <c r="J79" s="82"/>
      <c r="K79" s="82"/>
      <c r="L79" s="82"/>
      <c r="M79" s="82"/>
      <c r="N79" s="82"/>
      <c r="O79" s="82"/>
      <c r="P79" s="82"/>
      <c r="Q79" s="82"/>
      <c r="R79" s="82"/>
      <c r="S79" s="82"/>
      <c r="T79" s="82"/>
      <c r="U79" s="82"/>
      <c r="V79" s="82"/>
      <c r="W79" s="82"/>
      <c r="X79" s="82"/>
      <c r="Y79" s="82"/>
      <c r="Z79" s="82"/>
      <c r="AA79" s="82"/>
      <c r="AB79" s="83"/>
    </row>
    <row r="80" spans="7:28" x14ac:dyDescent="0.25">
      <c r="G80" s="100"/>
      <c r="H80" s="82"/>
      <c r="I80" s="82"/>
      <c r="J80" s="82"/>
      <c r="K80" s="82"/>
      <c r="L80" s="82"/>
      <c r="M80" s="82"/>
      <c r="N80" s="82"/>
      <c r="O80" s="82"/>
      <c r="P80" s="82"/>
      <c r="Q80" s="82"/>
      <c r="R80" s="82"/>
      <c r="S80" s="82"/>
      <c r="T80" s="82"/>
      <c r="U80" s="82"/>
      <c r="V80" s="82"/>
      <c r="W80" s="82"/>
      <c r="X80" s="82"/>
      <c r="Y80" s="82"/>
      <c r="Z80" s="82"/>
      <c r="AA80" s="82"/>
      <c r="AB80" s="83"/>
    </row>
    <row r="81" spans="7:28" x14ac:dyDescent="0.25">
      <c r="G81" s="100"/>
      <c r="H81" s="82"/>
      <c r="I81" s="82"/>
      <c r="J81" s="82"/>
      <c r="K81" s="82"/>
      <c r="L81" s="82"/>
      <c r="M81" s="82"/>
      <c r="N81" s="82"/>
      <c r="O81" s="82"/>
      <c r="P81" s="82"/>
      <c r="Q81" s="82"/>
      <c r="R81" s="82"/>
      <c r="S81" s="82"/>
      <c r="T81" s="82"/>
      <c r="U81" s="82"/>
      <c r="V81" s="82"/>
      <c r="W81" s="82"/>
      <c r="X81" s="82"/>
      <c r="Y81" s="82"/>
      <c r="Z81" s="82"/>
      <c r="AA81" s="82"/>
      <c r="AB81" s="83"/>
    </row>
    <row r="82" spans="7:28" x14ac:dyDescent="0.25">
      <c r="G82" s="100"/>
      <c r="H82" s="82"/>
      <c r="I82" s="82"/>
      <c r="J82" s="82"/>
      <c r="K82" s="82"/>
      <c r="L82" s="82"/>
      <c r="M82" s="82"/>
      <c r="N82" s="82"/>
      <c r="O82" s="82"/>
      <c r="P82" s="82"/>
      <c r="Q82" s="82"/>
      <c r="R82" s="82"/>
      <c r="S82" s="82"/>
      <c r="T82" s="82"/>
      <c r="U82" s="82"/>
      <c r="V82" s="82"/>
      <c r="W82" s="82"/>
      <c r="X82" s="82"/>
      <c r="Y82" s="82"/>
      <c r="Z82" s="82"/>
      <c r="AA82" s="82"/>
      <c r="AB82" s="83"/>
    </row>
    <row r="83" spans="7:28" x14ac:dyDescent="0.25">
      <c r="G83" s="100"/>
      <c r="H83" s="82"/>
      <c r="I83" s="82"/>
      <c r="J83" s="82"/>
      <c r="K83" s="82"/>
      <c r="L83" s="82"/>
      <c r="M83" s="82"/>
      <c r="N83" s="82"/>
      <c r="O83" s="82"/>
      <c r="P83" s="82"/>
      <c r="Q83" s="82"/>
      <c r="R83" s="82"/>
      <c r="S83" s="82"/>
      <c r="T83" s="82"/>
      <c r="U83" s="82"/>
      <c r="V83" s="82"/>
      <c r="W83" s="82"/>
      <c r="X83" s="82"/>
      <c r="Y83" s="82"/>
      <c r="Z83" s="82"/>
      <c r="AA83" s="82"/>
      <c r="AB83" s="83"/>
    </row>
    <row r="84" spans="7:28" x14ac:dyDescent="0.25">
      <c r="G84" s="100"/>
      <c r="H84" s="82"/>
      <c r="I84" s="82"/>
      <c r="J84" s="82"/>
      <c r="K84" s="82"/>
      <c r="L84" s="82"/>
      <c r="M84" s="82"/>
      <c r="N84" s="82"/>
      <c r="O84" s="82"/>
      <c r="P84" s="82"/>
      <c r="Q84" s="82"/>
      <c r="R84" s="82"/>
      <c r="S84" s="82"/>
      <c r="T84" s="82"/>
      <c r="U84" s="82"/>
      <c r="V84" s="82"/>
      <c r="W84" s="82"/>
      <c r="X84" s="82"/>
      <c r="Y84" s="82"/>
      <c r="Z84" s="82"/>
      <c r="AA84" s="82"/>
      <c r="AB84" s="83"/>
    </row>
    <row r="85" spans="7:28" x14ac:dyDescent="0.25">
      <c r="G85" s="100"/>
      <c r="H85" s="82"/>
      <c r="I85" s="82"/>
      <c r="J85" s="82"/>
      <c r="K85" s="82"/>
      <c r="L85" s="82"/>
      <c r="M85" s="82"/>
      <c r="N85" s="82"/>
      <c r="O85" s="82"/>
      <c r="P85" s="82"/>
      <c r="Q85" s="82"/>
      <c r="R85" s="82"/>
      <c r="S85" s="82"/>
      <c r="T85" s="82"/>
      <c r="U85" s="82"/>
      <c r="V85" s="82"/>
      <c r="W85" s="82"/>
      <c r="X85" s="82"/>
      <c r="Y85" s="82"/>
      <c r="Z85" s="82"/>
      <c r="AA85" s="82"/>
      <c r="AB85" s="83"/>
    </row>
    <row r="86" spans="7:28" x14ac:dyDescent="0.25">
      <c r="G86" s="100"/>
      <c r="H86" s="82"/>
      <c r="I86" s="82"/>
      <c r="J86" s="82"/>
      <c r="K86" s="82"/>
      <c r="L86" s="82"/>
      <c r="M86" s="82"/>
      <c r="N86" s="82"/>
      <c r="O86" s="82"/>
      <c r="P86" s="82"/>
      <c r="Q86" s="82"/>
      <c r="R86" s="82"/>
      <c r="S86" s="82"/>
      <c r="T86" s="82"/>
      <c r="U86" s="82"/>
      <c r="V86" s="82"/>
      <c r="W86" s="82"/>
      <c r="X86" s="82"/>
      <c r="Y86" s="82"/>
      <c r="Z86" s="82"/>
      <c r="AA86" s="82"/>
      <c r="AB86" s="83"/>
    </row>
    <row r="87" spans="7:28" x14ac:dyDescent="0.25">
      <c r="G87" s="100"/>
      <c r="H87" s="82"/>
      <c r="I87" s="82"/>
      <c r="J87" s="82"/>
      <c r="K87" s="82"/>
      <c r="L87" s="82"/>
      <c r="M87" s="82"/>
      <c r="N87" s="82"/>
      <c r="O87" s="82"/>
      <c r="P87" s="82"/>
      <c r="Q87" s="82"/>
      <c r="R87" s="82"/>
      <c r="S87" s="82"/>
      <c r="T87" s="82"/>
      <c r="U87" s="82"/>
      <c r="V87" s="82"/>
      <c r="W87" s="82"/>
      <c r="X87" s="82"/>
      <c r="Y87" s="82"/>
      <c r="Z87" s="82"/>
      <c r="AA87" s="82"/>
      <c r="AB87" s="83"/>
    </row>
    <row r="88" spans="7:28" x14ac:dyDescent="0.25">
      <c r="G88" s="100"/>
      <c r="H88" s="82"/>
      <c r="I88" s="82"/>
      <c r="J88" s="82"/>
      <c r="K88" s="82"/>
      <c r="L88" s="82"/>
      <c r="M88" s="82"/>
      <c r="N88" s="82"/>
      <c r="O88" s="82"/>
      <c r="P88" s="82"/>
      <c r="Q88" s="82"/>
      <c r="R88" s="82"/>
      <c r="S88" s="82"/>
      <c r="T88" s="82"/>
      <c r="U88" s="82"/>
      <c r="V88" s="82"/>
      <c r="W88" s="82"/>
      <c r="X88" s="82"/>
      <c r="Y88" s="82"/>
      <c r="Z88" s="82"/>
      <c r="AA88" s="82"/>
      <c r="AB88" s="83"/>
    </row>
    <row r="89" spans="7:28" x14ac:dyDescent="0.25">
      <c r="G89" s="100"/>
      <c r="H89" s="82"/>
      <c r="I89" s="82"/>
      <c r="J89" s="82"/>
      <c r="K89" s="82"/>
      <c r="L89" s="82"/>
      <c r="M89" s="82"/>
      <c r="N89" s="82"/>
      <c r="O89" s="82"/>
      <c r="P89" s="82"/>
      <c r="Q89" s="82"/>
      <c r="R89" s="82"/>
      <c r="S89" s="82"/>
      <c r="T89" s="82"/>
      <c r="U89" s="82"/>
      <c r="V89" s="82"/>
      <c r="W89" s="82"/>
      <c r="X89" s="82"/>
      <c r="Y89" s="82"/>
      <c r="Z89" s="82"/>
      <c r="AA89" s="82"/>
      <c r="AB89" s="83"/>
    </row>
    <row r="90" spans="7:28" x14ac:dyDescent="0.25">
      <c r="G90" s="100"/>
      <c r="H90" s="82"/>
      <c r="I90" s="82"/>
      <c r="J90" s="82"/>
      <c r="K90" s="82"/>
      <c r="L90" s="82"/>
      <c r="M90" s="82"/>
      <c r="N90" s="82"/>
      <c r="O90" s="82"/>
      <c r="P90" s="82"/>
      <c r="Q90" s="82"/>
      <c r="R90" s="82"/>
      <c r="S90" s="82"/>
      <c r="T90" s="82"/>
      <c r="U90" s="82"/>
      <c r="V90" s="82"/>
      <c r="W90" s="82"/>
      <c r="X90" s="82"/>
      <c r="Y90" s="82"/>
      <c r="Z90" s="82"/>
      <c r="AA90" s="82"/>
      <c r="AB90" s="83"/>
    </row>
    <row r="91" spans="7:28" x14ac:dyDescent="0.25">
      <c r="G91" s="100"/>
      <c r="H91" s="82"/>
      <c r="I91" s="82"/>
      <c r="J91" s="82"/>
      <c r="K91" s="82"/>
      <c r="L91" s="82"/>
      <c r="M91" s="82"/>
      <c r="N91" s="82"/>
      <c r="O91" s="82"/>
      <c r="P91" s="82"/>
      <c r="Q91" s="82"/>
      <c r="R91" s="82"/>
      <c r="S91" s="82"/>
      <c r="T91" s="82"/>
      <c r="U91" s="82"/>
      <c r="V91" s="82"/>
      <c r="W91" s="82"/>
      <c r="X91" s="82"/>
      <c r="Y91" s="82"/>
      <c r="Z91" s="82"/>
      <c r="AA91" s="82"/>
      <c r="AB91" s="83"/>
    </row>
    <row r="92" spans="7:28" x14ac:dyDescent="0.25">
      <c r="G92" s="100"/>
      <c r="H92" s="82"/>
      <c r="I92" s="82"/>
      <c r="J92" s="82"/>
      <c r="K92" s="82"/>
      <c r="L92" s="82"/>
      <c r="M92" s="82"/>
      <c r="N92" s="82"/>
      <c r="O92" s="82"/>
      <c r="P92" s="82"/>
      <c r="Q92" s="82"/>
      <c r="R92" s="82"/>
      <c r="S92" s="82"/>
      <c r="T92" s="82"/>
      <c r="U92" s="82"/>
      <c r="V92" s="82"/>
      <c r="W92" s="82"/>
      <c r="X92" s="82"/>
      <c r="Y92" s="82"/>
      <c r="Z92" s="82"/>
      <c r="AA92" s="82"/>
      <c r="AB92" s="83"/>
    </row>
    <row r="93" spans="7:28" x14ac:dyDescent="0.25">
      <c r="G93" s="100"/>
      <c r="H93" s="82"/>
      <c r="I93" s="82"/>
      <c r="J93" s="82"/>
      <c r="K93" s="82"/>
      <c r="L93" s="82"/>
      <c r="M93" s="82"/>
      <c r="N93" s="82"/>
      <c r="O93" s="82"/>
      <c r="P93" s="82"/>
      <c r="Q93" s="82"/>
      <c r="R93" s="82"/>
      <c r="S93" s="82"/>
      <c r="T93" s="82"/>
      <c r="U93" s="82"/>
      <c r="V93" s="82"/>
      <c r="W93" s="82"/>
      <c r="X93" s="82"/>
      <c r="Y93" s="82"/>
      <c r="Z93" s="82"/>
      <c r="AA93" s="82"/>
      <c r="AB93" s="83"/>
    </row>
    <row r="94" spans="7:28" x14ac:dyDescent="0.25">
      <c r="G94" s="100"/>
      <c r="H94" s="82"/>
      <c r="I94" s="82"/>
      <c r="J94" s="82"/>
      <c r="K94" s="82"/>
      <c r="L94" s="82"/>
      <c r="M94" s="82"/>
      <c r="N94" s="82"/>
      <c r="O94" s="82"/>
      <c r="P94" s="82"/>
      <c r="Q94" s="82"/>
      <c r="R94" s="82"/>
      <c r="S94" s="82"/>
      <c r="T94" s="82"/>
      <c r="U94" s="82"/>
      <c r="V94" s="82"/>
      <c r="W94" s="82"/>
      <c r="X94" s="82"/>
      <c r="Y94" s="82"/>
      <c r="Z94" s="82"/>
      <c r="AA94" s="82"/>
      <c r="AB94" s="83"/>
    </row>
    <row r="95" spans="7:28" x14ac:dyDescent="0.25">
      <c r="G95" s="100"/>
      <c r="H95" s="82"/>
      <c r="I95" s="82"/>
      <c r="J95" s="82"/>
      <c r="K95" s="82"/>
      <c r="L95" s="82"/>
      <c r="M95" s="82"/>
      <c r="N95" s="82"/>
      <c r="O95" s="82"/>
      <c r="P95" s="82"/>
      <c r="Q95" s="82"/>
      <c r="R95" s="82"/>
      <c r="S95" s="82"/>
      <c r="T95" s="82"/>
      <c r="U95" s="82"/>
      <c r="V95" s="82"/>
      <c r="W95" s="82"/>
      <c r="X95" s="82"/>
      <c r="Y95" s="82"/>
      <c r="Z95" s="82"/>
      <c r="AA95" s="82"/>
      <c r="AB95" s="83"/>
    </row>
    <row r="96" spans="7:28" x14ac:dyDescent="0.25">
      <c r="G96" s="100"/>
      <c r="H96" s="82"/>
      <c r="I96" s="82"/>
      <c r="J96" s="82"/>
      <c r="K96" s="82"/>
      <c r="L96" s="82"/>
      <c r="M96" s="82"/>
      <c r="N96" s="82"/>
      <c r="O96" s="82"/>
      <c r="P96" s="82"/>
      <c r="Q96" s="82"/>
      <c r="R96" s="82"/>
      <c r="S96" s="82"/>
      <c r="T96" s="82"/>
      <c r="U96" s="82"/>
      <c r="V96" s="82"/>
      <c r="W96" s="82"/>
      <c r="X96" s="82"/>
      <c r="Y96" s="82"/>
      <c r="Z96" s="82"/>
      <c r="AA96" s="82"/>
      <c r="AB96" s="83"/>
    </row>
    <row r="97" spans="7:28" x14ac:dyDescent="0.25">
      <c r="G97" s="100"/>
      <c r="H97" s="82"/>
      <c r="I97" s="82"/>
      <c r="J97" s="82"/>
      <c r="K97" s="82"/>
      <c r="L97" s="82"/>
      <c r="M97" s="82"/>
      <c r="N97" s="82"/>
      <c r="O97" s="82"/>
      <c r="P97" s="82"/>
      <c r="Q97" s="82"/>
      <c r="R97" s="82"/>
      <c r="S97" s="82"/>
      <c r="T97" s="82"/>
      <c r="U97" s="82"/>
      <c r="V97" s="82"/>
      <c r="W97" s="82"/>
      <c r="X97" s="82"/>
      <c r="Y97" s="82"/>
      <c r="Z97" s="82"/>
      <c r="AA97" s="82"/>
      <c r="AB97" s="83"/>
    </row>
    <row r="98" spans="7:28" x14ac:dyDescent="0.25">
      <c r="G98" s="100"/>
      <c r="H98" s="82"/>
      <c r="I98" s="82"/>
      <c r="J98" s="82"/>
      <c r="K98" s="82"/>
      <c r="L98" s="82"/>
      <c r="M98" s="82"/>
      <c r="N98" s="82"/>
      <c r="O98" s="82"/>
      <c r="P98" s="82"/>
      <c r="Q98" s="82"/>
      <c r="R98" s="82"/>
      <c r="S98" s="82"/>
      <c r="T98" s="82"/>
      <c r="U98" s="82"/>
      <c r="V98" s="82"/>
      <c r="W98" s="82"/>
      <c r="X98" s="82"/>
      <c r="Y98" s="82"/>
      <c r="Z98" s="82"/>
      <c r="AA98" s="82"/>
      <c r="AB98" s="83"/>
    </row>
    <row r="99" spans="7:28" x14ac:dyDescent="0.25">
      <c r="G99" s="100"/>
      <c r="H99" s="82"/>
      <c r="I99" s="82"/>
      <c r="J99" s="82"/>
      <c r="K99" s="82"/>
      <c r="L99" s="82"/>
      <c r="M99" s="82"/>
      <c r="N99" s="82"/>
      <c r="O99" s="82"/>
      <c r="P99" s="82"/>
      <c r="Q99" s="82"/>
      <c r="R99" s="82"/>
      <c r="S99" s="82"/>
      <c r="T99" s="82"/>
      <c r="U99" s="82"/>
      <c r="V99" s="82"/>
      <c r="W99" s="82"/>
      <c r="X99" s="82"/>
      <c r="Y99" s="82"/>
      <c r="Z99" s="82"/>
      <c r="AA99" s="82"/>
      <c r="AB99" s="83"/>
    </row>
    <row r="100" spans="7:28" x14ac:dyDescent="0.25">
      <c r="G100" s="100"/>
      <c r="H100" s="82"/>
      <c r="I100" s="82"/>
      <c r="J100" s="82"/>
      <c r="K100" s="82"/>
      <c r="L100" s="82"/>
      <c r="M100" s="82"/>
      <c r="N100" s="82"/>
      <c r="O100" s="82"/>
      <c r="P100" s="82"/>
      <c r="Q100" s="82"/>
      <c r="R100" s="82"/>
      <c r="S100" s="82"/>
      <c r="T100" s="82"/>
      <c r="U100" s="82"/>
      <c r="V100" s="82"/>
      <c r="W100" s="82"/>
      <c r="X100" s="82"/>
      <c r="Y100" s="82"/>
      <c r="Z100" s="82"/>
      <c r="AA100" s="82"/>
      <c r="AB100" s="83"/>
    </row>
    <row r="101" spans="7:28" x14ac:dyDescent="0.25">
      <c r="G101" s="100"/>
      <c r="H101" s="82"/>
      <c r="I101" s="82"/>
      <c r="J101" s="82"/>
      <c r="K101" s="82"/>
      <c r="L101" s="82"/>
      <c r="M101" s="82"/>
      <c r="N101" s="82"/>
      <c r="O101" s="82"/>
      <c r="P101" s="82"/>
      <c r="Q101" s="82"/>
      <c r="R101" s="82"/>
      <c r="S101" s="82"/>
      <c r="T101" s="82"/>
      <c r="U101" s="82"/>
      <c r="V101" s="82"/>
      <c r="W101" s="82"/>
      <c r="X101" s="82"/>
      <c r="Y101" s="82"/>
      <c r="Z101" s="82"/>
      <c r="AA101" s="82"/>
      <c r="AB101" s="83"/>
    </row>
    <row r="102" spans="7:28" x14ac:dyDescent="0.25">
      <c r="G102" s="100"/>
      <c r="H102" s="82"/>
      <c r="I102" s="82"/>
      <c r="J102" s="82"/>
      <c r="K102" s="82"/>
      <c r="L102" s="82"/>
      <c r="M102" s="82"/>
      <c r="N102" s="82"/>
      <c r="O102" s="82"/>
      <c r="P102" s="82"/>
      <c r="Q102" s="82"/>
      <c r="R102" s="82"/>
      <c r="S102" s="82"/>
      <c r="T102" s="82"/>
      <c r="U102" s="82"/>
      <c r="V102" s="82"/>
      <c r="W102" s="82"/>
      <c r="X102" s="82"/>
      <c r="Y102" s="82"/>
      <c r="Z102" s="82"/>
      <c r="AA102" s="82"/>
      <c r="AB102" s="83"/>
    </row>
    <row r="103" spans="7:28" x14ac:dyDescent="0.25">
      <c r="G103" s="100"/>
      <c r="H103" s="82"/>
      <c r="I103" s="82"/>
      <c r="J103" s="82"/>
      <c r="K103" s="82"/>
      <c r="L103" s="82"/>
      <c r="M103" s="82"/>
      <c r="N103" s="82"/>
      <c r="O103" s="82"/>
      <c r="P103" s="82"/>
      <c r="Q103" s="82"/>
      <c r="R103" s="82"/>
      <c r="S103" s="82"/>
      <c r="T103" s="82"/>
      <c r="U103" s="82"/>
      <c r="V103" s="82"/>
      <c r="W103" s="82"/>
      <c r="X103" s="82"/>
      <c r="Y103" s="82"/>
      <c r="Z103" s="82"/>
      <c r="AA103" s="82"/>
      <c r="AB103" s="83"/>
    </row>
    <row r="104" spans="7:28" x14ac:dyDescent="0.25">
      <c r="G104" s="100"/>
      <c r="H104" s="82"/>
      <c r="I104" s="82"/>
      <c r="J104" s="82"/>
      <c r="K104" s="82"/>
      <c r="L104" s="82"/>
      <c r="M104" s="82"/>
      <c r="N104" s="82"/>
      <c r="O104" s="82"/>
      <c r="P104" s="82"/>
      <c r="Q104" s="82"/>
      <c r="R104" s="82"/>
      <c r="S104" s="82"/>
      <c r="T104" s="82"/>
      <c r="U104" s="82"/>
      <c r="V104" s="82"/>
      <c r="W104" s="82"/>
      <c r="X104" s="82"/>
      <c r="Y104" s="82"/>
      <c r="Z104" s="82"/>
      <c r="AA104" s="82"/>
      <c r="AB104" s="83"/>
    </row>
    <row r="105" spans="7:28" x14ac:dyDescent="0.25">
      <c r="G105" s="100"/>
      <c r="H105" s="82"/>
      <c r="I105" s="82"/>
      <c r="J105" s="82"/>
      <c r="K105" s="82"/>
      <c r="L105" s="82"/>
      <c r="M105" s="82"/>
      <c r="N105" s="82"/>
      <c r="O105" s="82"/>
      <c r="P105" s="82"/>
      <c r="Q105" s="82"/>
      <c r="R105" s="82"/>
      <c r="S105" s="82"/>
      <c r="T105" s="82"/>
      <c r="U105" s="82"/>
      <c r="V105" s="82"/>
      <c r="W105" s="82"/>
      <c r="X105" s="82"/>
      <c r="Y105" s="82"/>
      <c r="Z105" s="82"/>
      <c r="AA105" s="82"/>
      <c r="AB105" s="83"/>
    </row>
    <row r="106" spans="7:28" x14ac:dyDescent="0.25">
      <c r="G106" s="100"/>
      <c r="H106" s="82"/>
      <c r="I106" s="82"/>
      <c r="J106" s="82"/>
      <c r="K106" s="82"/>
      <c r="L106" s="82"/>
      <c r="M106" s="82"/>
      <c r="N106" s="82"/>
      <c r="O106" s="82"/>
      <c r="P106" s="82"/>
      <c r="Q106" s="82"/>
      <c r="R106" s="82"/>
      <c r="S106" s="82"/>
      <c r="T106" s="82"/>
      <c r="U106" s="82"/>
      <c r="V106" s="82"/>
      <c r="W106" s="82"/>
      <c r="X106" s="82"/>
      <c r="Y106" s="82"/>
      <c r="Z106" s="82"/>
      <c r="AA106" s="82"/>
      <c r="AB106" s="83"/>
    </row>
    <row r="107" spans="7:28" x14ac:dyDescent="0.25">
      <c r="G107" s="100"/>
      <c r="H107" s="82"/>
      <c r="I107" s="82"/>
      <c r="J107" s="82"/>
      <c r="K107" s="82"/>
      <c r="L107" s="82"/>
      <c r="M107" s="82"/>
      <c r="N107" s="82"/>
      <c r="O107" s="82"/>
      <c r="P107" s="82"/>
      <c r="Q107" s="82"/>
      <c r="R107" s="82"/>
      <c r="S107" s="82"/>
      <c r="T107" s="82"/>
      <c r="U107" s="82"/>
      <c r="V107" s="82"/>
      <c r="W107" s="82"/>
      <c r="X107" s="82"/>
      <c r="Y107" s="82"/>
      <c r="Z107" s="82"/>
      <c r="AA107" s="82"/>
      <c r="AB107" s="83"/>
    </row>
    <row r="108" spans="7:28" x14ac:dyDescent="0.25">
      <c r="G108" s="100"/>
      <c r="H108" s="82"/>
      <c r="I108" s="82"/>
      <c r="J108" s="82"/>
      <c r="K108" s="82"/>
      <c r="L108" s="82"/>
      <c r="M108" s="82"/>
      <c r="N108" s="82"/>
      <c r="O108" s="82"/>
      <c r="P108" s="82"/>
      <c r="Q108" s="82"/>
      <c r="R108" s="82"/>
      <c r="S108" s="82"/>
      <c r="T108" s="82"/>
      <c r="U108" s="82"/>
      <c r="V108" s="82"/>
      <c r="W108" s="82"/>
      <c r="X108" s="82"/>
      <c r="Y108" s="82"/>
      <c r="Z108" s="82"/>
      <c r="AA108" s="82"/>
      <c r="AB108" s="83"/>
    </row>
    <row r="109" spans="7:28" x14ac:dyDescent="0.25">
      <c r="G109" s="100"/>
      <c r="H109" s="82"/>
      <c r="I109" s="82"/>
      <c r="J109" s="82"/>
      <c r="K109" s="82"/>
      <c r="L109" s="82"/>
      <c r="M109" s="82"/>
      <c r="N109" s="82"/>
      <c r="O109" s="82"/>
      <c r="P109" s="82"/>
      <c r="Q109" s="82"/>
      <c r="R109" s="82"/>
      <c r="S109" s="82"/>
      <c r="T109" s="82"/>
      <c r="U109" s="82"/>
      <c r="V109" s="82"/>
      <c r="W109" s="82"/>
      <c r="X109" s="82"/>
      <c r="Y109" s="82"/>
      <c r="Z109" s="82"/>
      <c r="AA109" s="82"/>
      <c r="AB109" s="83"/>
    </row>
    <row r="110" spans="7:28" ht="15.75" thickBot="1" x14ac:dyDescent="0.3">
      <c r="G110" s="101"/>
      <c r="H110" s="87"/>
      <c r="I110" s="87"/>
      <c r="J110" s="87"/>
      <c r="K110" s="87"/>
      <c r="L110" s="87"/>
      <c r="M110" s="87"/>
      <c r="N110" s="87"/>
      <c r="O110" s="87"/>
      <c r="P110" s="87"/>
      <c r="Q110" s="87"/>
      <c r="R110" s="87"/>
      <c r="S110" s="87"/>
      <c r="T110" s="87"/>
      <c r="U110" s="87"/>
      <c r="V110" s="87"/>
      <c r="W110" s="87"/>
      <c r="X110" s="87"/>
      <c r="Y110" s="87"/>
      <c r="Z110" s="87"/>
      <c r="AA110" s="87"/>
      <c r="AB110" s="88"/>
    </row>
  </sheetData>
  <mergeCells count="18">
    <mergeCell ref="B6:B10"/>
    <mergeCell ref="B11:B15"/>
    <mergeCell ref="E2:E3"/>
    <mergeCell ref="B2:B3"/>
    <mergeCell ref="C2:C3"/>
    <mergeCell ref="D2:D3"/>
    <mergeCell ref="B4:B5"/>
    <mergeCell ref="D21:D22"/>
    <mergeCell ref="E21:E22"/>
    <mergeCell ref="B21:C22"/>
    <mergeCell ref="B16:B18"/>
    <mergeCell ref="B19:C19"/>
    <mergeCell ref="B38:C38"/>
    <mergeCell ref="B23:C23"/>
    <mergeCell ref="B25:C25"/>
    <mergeCell ref="B26:C26"/>
    <mergeCell ref="B27:C27"/>
    <mergeCell ref="B24:C2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C64"/>
  <sheetViews>
    <sheetView showGridLines="0" workbookViewId="0">
      <selection activeCell="C16" sqref="C16"/>
    </sheetView>
  </sheetViews>
  <sheetFormatPr defaultRowHeight="15" x14ac:dyDescent="0.25"/>
  <cols>
    <col min="1" max="1" width="2.42578125" customWidth="1"/>
    <col min="2" max="2" width="14.7109375" style="15" customWidth="1"/>
    <col min="3" max="3" width="10.7109375" style="15" customWidth="1"/>
    <col min="4" max="5" width="10.7109375" style="1" customWidth="1"/>
    <col min="6" max="6" width="2.42578125" customWidth="1"/>
  </cols>
  <sheetData>
    <row r="1" spans="1:29" ht="15.75" thickBot="1" x14ac:dyDescent="0.3"/>
    <row r="2" spans="1:29" ht="15" customHeight="1" x14ac:dyDescent="0.25">
      <c r="B2" s="128" t="s">
        <v>202</v>
      </c>
      <c r="C2" s="128" t="s">
        <v>8</v>
      </c>
      <c r="D2" s="133" t="s">
        <v>23</v>
      </c>
      <c r="E2" s="133" t="s">
        <v>226</v>
      </c>
      <c r="G2" s="9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79"/>
      <c r="T2" s="79"/>
      <c r="U2" s="79"/>
      <c r="V2" s="79"/>
      <c r="W2" s="79"/>
      <c r="X2" s="79"/>
      <c r="Y2" s="79"/>
      <c r="Z2" s="79"/>
      <c r="AA2" s="79"/>
      <c r="AB2" s="79"/>
      <c r="AC2" s="80"/>
    </row>
    <row r="3" spans="1:29" ht="15.75" customHeight="1" thickBot="1" x14ac:dyDescent="0.3">
      <c r="B3" s="129"/>
      <c r="C3" s="129"/>
      <c r="D3" s="135"/>
      <c r="E3" s="135"/>
      <c r="G3" s="100"/>
      <c r="H3" s="82"/>
      <c r="I3" s="82"/>
      <c r="J3" s="82"/>
      <c r="K3" s="82"/>
      <c r="L3" s="82"/>
      <c r="M3" s="82"/>
      <c r="N3" s="82"/>
      <c r="O3" s="82"/>
      <c r="P3" s="82"/>
      <c r="Q3" s="82"/>
      <c r="R3" s="82"/>
      <c r="S3" s="82"/>
      <c r="T3" s="82"/>
      <c r="U3" s="82"/>
      <c r="V3" s="82"/>
      <c r="W3" s="82"/>
      <c r="X3" s="82"/>
      <c r="Y3" s="82"/>
      <c r="Z3" s="82"/>
      <c r="AA3" s="82"/>
      <c r="AB3" s="82"/>
      <c r="AC3" s="83"/>
    </row>
    <row r="4" spans="1:29" x14ac:dyDescent="0.25">
      <c r="A4" s="69"/>
      <c r="B4" s="141" t="s">
        <v>201</v>
      </c>
      <c r="C4" s="58" t="s">
        <v>40</v>
      </c>
      <c r="D4" s="70" t="e">
        <f>SUM(SUMIF('Raw Data'!$E$5:$E$514,$C4, 'Raw Data'!$K$5:$K$514))/SUM(COUNTIF('Raw Data'!$E$5:$E$514,$C4))</f>
        <v>#DIV/0!</v>
      </c>
      <c r="E4" s="74">
        <f>SUM(COUNTIF('Raw Data'!$E$5:$E$514,$C4))</f>
        <v>0</v>
      </c>
      <c r="G4" s="100"/>
      <c r="H4" s="82"/>
      <c r="I4" s="82"/>
      <c r="J4" s="82"/>
      <c r="K4" s="82"/>
      <c r="L4" s="82"/>
      <c r="M4" s="82"/>
      <c r="N4" s="82"/>
      <c r="O4" s="82"/>
      <c r="P4" s="82"/>
      <c r="Q4" s="82"/>
      <c r="R4" s="82"/>
      <c r="S4" s="82"/>
      <c r="T4" s="82"/>
      <c r="U4" s="82"/>
      <c r="V4" s="82"/>
      <c r="W4" s="82"/>
      <c r="X4" s="82"/>
      <c r="Y4" s="82"/>
      <c r="Z4" s="82"/>
      <c r="AA4" s="82"/>
      <c r="AB4" s="82"/>
      <c r="AC4" s="83"/>
    </row>
    <row r="5" spans="1:29" x14ac:dyDescent="0.25">
      <c r="A5" s="69"/>
      <c r="B5" s="160"/>
      <c r="C5" s="53" t="s">
        <v>17</v>
      </c>
      <c r="D5" s="72" t="e">
        <f>SUM(SUMIF('Raw Data'!$E$5:$E$514,$C5, 'Raw Data'!$K$5:$K$514))/SUM(COUNTIF('Raw Data'!$E$5:$E$514,$C5))</f>
        <v>#DIV/0!</v>
      </c>
      <c r="E5" s="113">
        <f>SUM(COUNTIF('Raw Data'!$E$5:$E$514,$C5))</f>
        <v>0</v>
      </c>
      <c r="G5" s="100"/>
      <c r="H5" s="82"/>
      <c r="I5" s="82"/>
      <c r="J5" s="82"/>
      <c r="K5" s="82"/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  <c r="W5" s="82"/>
      <c r="X5" s="82"/>
      <c r="Y5" s="82"/>
      <c r="Z5" s="82"/>
      <c r="AA5" s="82"/>
      <c r="AB5" s="82"/>
      <c r="AC5" s="83"/>
    </row>
    <row r="6" spans="1:29" ht="15.75" thickBot="1" x14ac:dyDescent="0.3">
      <c r="A6" s="69"/>
      <c r="B6" s="142"/>
      <c r="C6" s="53" t="s">
        <v>159</v>
      </c>
      <c r="D6" s="72">
        <f>SUM(SUMIF('Raw Data'!$E$5:$E$514,$C6, 'Raw Data'!$K$5:$K$514))/SUM(COUNTIF('Raw Data'!$E$5:$E$514,$C6))</f>
        <v>0.55834881568490802</v>
      </c>
      <c r="E6" s="91">
        <f>SUM(COUNTIF('Raw Data'!$E$5:$E$514,$C6))</f>
        <v>8</v>
      </c>
      <c r="G6" s="100"/>
      <c r="H6" s="82"/>
      <c r="I6" s="82"/>
      <c r="J6" s="82"/>
      <c r="K6" s="82"/>
      <c r="L6" s="82"/>
      <c r="M6" s="82"/>
      <c r="N6" s="82"/>
      <c r="O6" s="82"/>
      <c r="P6" s="82"/>
      <c r="Q6" s="82"/>
      <c r="R6" s="82"/>
      <c r="S6" s="82"/>
      <c r="T6" s="82"/>
      <c r="U6" s="82"/>
      <c r="V6" s="82"/>
      <c r="W6" s="82"/>
      <c r="X6" s="82"/>
      <c r="Y6" s="82"/>
      <c r="Z6" s="82"/>
      <c r="AA6" s="82"/>
      <c r="AB6" s="82"/>
      <c r="AC6" s="83"/>
    </row>
    <row r="7" spans="1:29" x14ac:dyDescent="0.25">
      <c r="A7" s="69"/>
      <c r="B7" s="143" t="s">
        <v>207</v>
      </c>
      <c r="C7" s="52" t="s">
        <v>38</v>
      </c>
      <c r="D7" s="72" t="e">
        <f>SUM(SUMIF('Raw Data'!$E$5:$E$514,$C7, 'Raw Data'!$K$5:$K$514))/SUM(COUNTIF('Raw Data'!$E$5:$E$514,$C7))</f>
        <v>#DIV/0!</v>
      </c>
      <c r="E7" s="91">
        <f>SUM(COUNTIF('Raw Data'!$E$5:$E$514,$C7))</f>
        <v>0</v>
      </c>
      <c r="G7" s="100"/>
      <c r="H7" s="82"/>
      <c r="I7" s="82"/>
      <c r="J7" s="82"/>
      <c r="K7" s="82"/>
      <c r="L7" s="82"/>
      <c r="M7" s="82"/>
      <c r="N7" s="82"/>
      <c r="O7" s="82"/>
      <c r="P7" s="82"/>
      <c r="Q7" s="82"/>
      <c r="R7" s="82"/>
      <c r="S7" s="82"/>
      <c r="T7" s="82"/>
      <c r="U7" s="82"/>
      <c r="V7" s="82"/>
      <c r="W7" s="82"/>
      <c r="X7" s="82"/>
      <c r="Y7" s="82"/>
      <c r="Z7" s="82"/>
      <c r="AA7" s="82"/>
      <c r="AB7" s="82"/>
      <c r="AC7" s="83"/>
    </row>
    <row r="8" spans="1:29" ht="15.75" thickBot="1" x14ac:dyDescent="0.3">
      <c r="A8" s="69"/>
      <c r="B8" s="145"/>
      <c r="C8" s="53" t="s">
        <v>27</v>
      </c>
      <c r="D8" s="72">
        <f>SUM(SUMIF('Raw Data'!$E$5:$E$514,$C8, 'Raw Data'!$K$5:$K$514))/SUM(COUNTIF('Raw Data'!$E$5:$E$514,$C8))</f>
        <v>0.55593806625510267</v>
      </c>
      <c r="E8" s="91">
        <f>SUM(COUNTIF('Raw Data'!$E$5:$E$514,$C8))</f>
        <v>93</v>
      </c>
      <c r="G8" s="100"/>
      <c r="H8" s="82"/>
      <c r="I8" s="82"/>
      <c r="J8" s="82"/>
      <c r="K8" s="82"/>
      <c r="L8" s="114" t="e">
        <f>SUM('Installer Analysis'!D4)</f>
        <v>#DIV/0!</v>
      </c>
      <c r="M8" s="82"/>
      <c r="N8" s="82"/>
      <c r="O8" s="82"/>
      <c r="P8" s="82"/>
      <c r="Q8" s="82"/>
      <c r="R8" s="82"/>
      <c r="S8" s="82"/>
      <c r="T8" s="82"/>
      <c r="U8" s="82"/>
      <c r="V8" s="82"/>
      <c r="W8" s="82"/>
      <c r="X8" s="82"/>
      <c r="Y8" s="82"/>
      <c r="Z8" s="82"/>
      <c r="AA8" s="82"/>
      <c r="AB8" s="82"/>
      <c r="AC8" s="83"/>
    </row>
    <row r="9" spans="1:29" x14ac:dyDescent="0.25">
      <c r="A9" s="69"/>
      <c r="B9" s="138" t="s">
        <v>199</v>
      </c>
      <c r="C9" s="52" t="s">
        <v>15</v>
      </c>
      <c r="D9" s="72">
        <f>SUM(SUMIF('Raw Data'!$E$5:$E$514,$C9, 'Raw Data'!$K$5:$K$514))/SUM(COUNTIF('Raw Data'!$E$5:$E$514,$C9))</f>
        <v>0.39147536347261369</v>
      </c>
      <c r="E9" s="91">
        <f>SUM(COUNTIF('Raw Data'!$E$5:$E$514,$C9))</f>
        <v>2</v>
      </c>
      <c r="G9" s="100"/>
      <c r="H9" s="82"/>
      <c r="I9" s="82"/>
      <c r="J9" s="82"/>
      <c r="K9" s="82"/>
      <c r="L9" s="82"/>
      <c r="M9" s="82"/>
      <c r="N9" s="82"/>
      <c r="O9" s="82"/>
      <c r="P9" s="82"/>
      <c r="Q9" s="82"/>
      <c r="R9" s="82"/>
      <c r="S9" s="82"/>
      <c r="T9" s="82"/>
      <c r="U9" s="82"/>
      <c r="V9" s="82"/>
      <c r="W9" s="82"/>
      <c r="X9" s="82"/>
      <c r="Y9" s="82"/>
      <c r="Z9" s="82"/>
      <c r="AA9" s="82"/>
      <c r="AB9" s="82"/>
      <c r="AC9" s="83"/>
    </row>
    <row r="10" spans="1:29" x14ac:dyDescent="0.25">
      <c r="A10" s="69"/>
      <c r="B10" s="139"/>
      <c r="C10" s="53" t="s">
        <v>97</v>
      </c>
      <c r="D10" s="72">
        <f>SUM(SUMIF('Raw Data'!$E$5:$E$514,$C10, 'Raw Data'!$K$5:$K$514))/SUM(COUNTIF('Raw Data'!$E$5:$E$514,$C10))</f>
        <v>0.46366125911195666</v>
      </c>
      <c r="E10" s="91">
        <f>SUM(COUNTIF('Raw Data'!$E$5:$E$514,$C10))</f>
        <v>37</v>
      </c>
      <c r="G10" s="100"/>
      <c r="H10" s="82"/>
      <c r="I10" s="82"/>
      <c r="J10" s="82"/>
      <c r="K10" s="82"/>
      <c r="L10" s="82"/>
      <c r="M10" s="82"/>
      <c r="N10" s="82"/>
      <c r="O10" s="82"/>
      <c r="P10" s="82"/>
      <c r="Q10" s="82"/>
      <c r="R10" s="82"/>
      <c r="S10" s="82"/>
      <c r="T10" s="82"/>
      <c r="U10" s="82"/>
      <c r="V10" s="82"/>
      <c r="W10" s="82"/>
      <c r="X10" s="82"/>
      <c r="Y10" s="82"/>
      <c r="Z10" s="82"/>
      <c r="AA10" s="82"/>
      <c r="AB10" s="82"/>
      <c r="AC10" s="83"/>
    </row>
    <row r="11" spans="1:29" ht="15.75" thickBot="1" x14ac:dyDescent="0.3">
      <c r="A11" s="69"/>
      <c r="B11" s="140"/>
      <c r="C11" s="53" t="s">
        <v>45</v>
      </c>
      <c r="D11" s="71">
        <f>SUM(SUMIF('Raw Data'!$E$5:$E$514,$C11, 'Raw Data'!$K$5:$K$514))/SUM(COUNTIF('Raw Data'!$E$5:$E$514,$C11))</f>
        <v>0.48796017501659739</v>
      </c>
      <c r="E11" s="75">
        <f>SUM(COUNTIF('Raw Data'!$E$5:$E$514,$C11))</f>
        <v>7</v>
      </c>
      <c r="G11" s="100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2"/>
      <c r="AA11" s="82"/>
      <c r="AB11" s="82"/>
      <c r="AC11" s="83"/>
    </row>
    <row r="12" spans="1:29" ht="15.75" customHeight="1" x14ac:dyDescent="0.25">
      <c r="B12" s="132" t="s">
        <v>206</v>
      </c>
      <c r="C12" s="133"/>
      <c r="D12" s="158" t="e">
        <f>AVERAGE(D4:D11)</f>
        <v>#DIV/0!</v>
      </c>
      <c r="E12" s="156">
        <f>SUM(E4:E11)</f>
        <v>147</v>
      </c>
      <c r="G12" s="100"/>
      <c r="H12" s="82"/>
      <c r="I12" s="82"/>
      <c r="J12" s="82"/>
      <c r="K12" s="82"/>
      <c r="L12" s="82"/>
      <c r="M12" s="82"/>
      <c r="N12" s="82"/>
      <c r="O12" s="82"/>
      <c r="P12" s="82"/>
      <c r="Q12" s="82"/>
      <c r="R12" s="82"/>
      <c r="S12" s="82"/>
      <c r="T12" s="82"/>
      <c r="U12" s="82"/>
      <c r="V12" s="82"/>
      <c r="W12" s="82"/>
      <c r="X12" s="82"/>
      <c r="Y12" s="82"/>
      <c r="Z12" s="82"/>
      <c r="AA12" s="82"/>
      <c r="AB12" s="82"/>
      <c r="AC12" s="83"/>
    </row>
    <row r="13" spans="1:29" ht="15.75" customHeight="1" thickBot="1" x14ac:dyDescent="0.3">
      <c r="B13" s="134"/>
      <c r="C13" s="135"/>
      <c r="D13" s="159"/>
      <c r="E13" s="157"/>
      <c r="G13" s="100"/>
      <c r="H13" s="82"/>
      <c r="I13" s="82"/>
      <c r="J13" s="82"/>
      <c r="K13" s="82"/>
      <c r="L13" s="82"/>
      <c r="M13" s="82"/>
      <c r="N13" s="82"/>
      <c r="O13" s="82"/>
      <c r="P13" s="82"/>
      <c r="Q13" s="82"/>
      <c r="R13" s="82"/>
      <c r="S13" s="82"/>
      <c r="T13" s="82"/>
      <c r="U13" s="82"/>
      <c r="V13" s="82"/>
      <c r="W13" s="82"/>
      <c r="X13" s="82"/>
      <c r="Y13" s="82"/>
      <c r="Z13" s="82"/>
      <c r="AA13" s="82"/>
      <c r="AB13" s="82"/>
      <c r="AC13" s="83"/>
    </row>
    <row r="14" spans="1:29" x14ac:dyDescent="0.25">
      <c r="C14" s="65"/>
      <c r="D14" s="66"/>
      <c r="E14" s="66"/>
      <c r="G14" s="100"/>
      <c r="H14" s="82"/>
      <c r="I14" s="82"/>
      <c r="J14" s="82"/>
      <c r="K14" s="82"/>
      <c r="L14" s="82"/>
      <c r="M14" s="82"/>
      <c r="N14" s="82"/>
      <c r="O14" s="82"/>
      <c r="P14" s="82"/>
      <c r="Q14" s="82"/>
      <c r="R14" s="82"/>
      <c r="S14" s="82"/>
      <c r="T14" s="82"/>
      <c r="U14" s="82"/>
      <c r="V14" s="82"/>
      <c r="W14" s="82"/>
      <c r="X14" s="82"/>
      <c r="Y14" s="82"/>
      <c r="Z14" s="82"/>
      <c r="AA14" s="82"/>
      <c r="AB14" s="82"/>
      <c r="AC14" s="83"/>
    </row>
    <row r="15" spans="1:29" x14ac:dyDescent="0.25">
      <c r="C15" s="66"/>
      <c r="D15" s="67"/>
      <c r="E15" s="67"/>
      <c r="G15" s="100"/>
      <c r="H15" s="82"/>
      <c r="I15" s="82"/>
      <c r="J15" s="82"/>
      <c r="K15" s="82"/>
      <c r="L15" s="82"/>
      <c r="M15" s="82"/>
      <c r="N15" s="82"/>
      <c r="O15" s="82"/>
      <c r="P15" s="82"/>
      <c r="Q15" s="82"/>
      <c r="R15" s="82"/>
      <c r="S15" s="82"/>
      <c r="T15" s="82"/>
      <c r="U15" s="82"/>
      <c r="V15" s="82"/>
      <c r="W15" s="82"/>
      <c r="X15" s="82"/>
      <c r="Y15" s="82"/>
      <c r="Z15" s="82"/>
      <c r="AA15" s="82"/>
      <c r="AB15" s="82"/>
      <c r="AC15" s="83"/>
    </row>
    <row r="16" spans="1:29" x14ac:dyDescent="0.25">
      <c r="B16" s="73"/>
      <c r="C16" s="66"/>
      <c r="D16" s="67"/>
      <c r="E16" s="67"/>
      <c r="G16" s="100"/>
      <c r="H16" s="82"/>
      <c r="I16" s="82"/>
      <c r="J16" s="82"/>
      <c r="K16" s="82"/>
      <c r="L16" s="82"/>
      <c r="M16" s="82"/>
      <c r="N16" s="82"/>
      <c r="O16" s="82"/>
      <c r="P16" s="82"/>
      <c r="Q16" s="82"/>
      <c r="R16" s="82"/>
      <c r="S16" s="82"/>
      <c r="T16" s="82"/>
      <c r="U16" s="82"/>
      <c r="V16" s="82"/>
      <c r="W16" s="82"/>
      <c r="X16" s="82"/>
      <c r="Y16" s="82"/>
      <c r="Z16" s="82"/>
      <c r="AA16" s="82"/>
      <c r="AB16" s="82"/>
      <c r="AC16" s="83"/>
    </row>
    <row r="17" spans="2:29" x14ac:dyDescent="0.25">
      <c r="B17" s="73"/>
      <c r="C17" s="66"/>
      <c r="D17" s="67"/>
      <c r="E17" s="67"/>
      <c r="G17" s="100"/>
      <c r="H17" s="82"/>
      <c r="I17" s="82"/>
      <c r="J17" s="82"/>
      <c r="K17" s="82"/>
      <c r="L17" s="82"/>
      <c r="M17" s="82"/>
      <c r="N17" s="82"/>
      <c r="O17" s="82"/>
      <c r="P17" s="82"/>
      <c r="Q17" s="82"/>
      <c r="R17" s="82"/>
      <c r="S17" s="82"/>
      <c r="T17" s="82"/>
      <c r="U17" s="82"/>
      <c r="V17" s="82"/>
      <c r="W17" s="82"/>
      <c r="X17" s="82"/>
      <c r="Y17" s="82"/>
      <c r="Z17" s="82"/>
      <c r="AA17" s="82"/>
      <c r="AB17" s="82"/>
      <c r="AC17" s="83"/>
    </row>
    <row r="18" spans="2:29" x14ac:dyDescent="0.25">
      <c r="B18" s="73"/>
      <c r="C18" s="66"/>
      <c r="D18" s="67"/>
      <c r="E18" s="67"/>
      <c r="G18" s="100"/>
      <c r="H18" s="82"/>
      <c r="I18" s="82"/>
      <c r="J18" s="82"/>
      <c r="K18" s="82"/>
      <c r="L18" s="82"/>
      <c r="M18" s="82"/>
      <c r="N18" s="82"/>
      <c r="O18" s="82"/>
      <c r="P18" s="82"/>
      <c r="Q18" s="82"/>
      <c r="R18" s="82"/>
      <c r="S18" s="82"/>
      <c r="T18" s="82"/>
      <c r="U18" s="82"/>
      <c r="V18" s="82"/>
      <c r="W18" s="82"/>
      <c r="X18" s="82"/>
      <c r="Y18" s="82"/>
      <c r="Z18" s="82"/>
      <c r="AA18" s="82"/>
      <c r="AB18" s="82"/>
      <c r="AC18" s="83"/>
    </row>
    <row r="19" spans="2:29" x14ac:dyDescent="0.25">
      <c r="B19" s="73"/>
      <c r="C19" s="66"/>
      <c r="D19" s="67"/>
      <c r="E19" s="67"/>
      <c r="G19" s="100"/>
      <c r="H19" s="82"/>
      <c r="I19" s="82"/>
      <c r="J19" s="82"/>
      <c r="K19" s="82"/>
      <c r="L19" s="82"/>
      <c r="M19" s="82"/>
      <c r="N19" s="82"/>
      <c r="O19" s="82"/>
      <c r="P19" s="82"/>
      <c r="Q19" s="82"/>
      <c r="R19" s="82"/>
      <c r="S19" s="82"/>
      <c r="T19" s="82"/>
      <c r="U19" s="82"/>
      <c r="V19" s="82"/>
      <c r="W19" s="82"/>
      <c r="X19" s="82"/>
      <c r="Y19" s="82"/>
      <c r="Z19" s="82"/>
      <c r="AA19" s="82"/>
      <c r="AB19" s="82"/>
      <c r="AC19" s="83"/>
    </row>
    <row r="20" spans="2:29" x14ac:dyDescent="0.25">
      <c r="B20" s="73"/>
      <c r="C20" s="66"/>
      <c r="D20" s="67"/>
      <c r="E20" s="67"/>
      <c r="G20" s="100"/>
      <c r="H20" s="82"/>
      <c r="I20" s="82"/>
      <c r="J20" s="82"/>
      <c r="K20" s="82"/>
      <c r="L20" s="82"/>
      <c r="M20" s="82"/>
      <c r="N20" s="82"/>
      <c r="O20" s="82"/>
      <c r="P20" s="82"/>
      <c r="Q20" s="82"/>
      <c r="R20" s="82"/>
      <c r="S20" s="82"/>
      <c r="T20" s="82"/>
      <c r="U20" s="82"/>
      <c r="V20" s="82"/>
      <c r="W20" s="82"/>
      <c r="X20" s="82"/>
      <c r="Y20" s="82"/>
      <c r="Z20" s="82"/>
      <c r="AA20" s="82"/>
      <c r="AB20" s="82"/>
      <c r="AC20" s="83"/>
    </row>
    <row r="21" spans="2:29" x14ac:dyDescent="0.25">
      <c r="B21" s="73"/>
      <c r="C21" s="66"/>
      <c r="D21" s="67"/>
      <c r="E21" s="67"/>
      <c r="G21" s="100"/>
      <c r="H21" s="82"/>
      <c r="I21" s="82"/>
      <c r="J21" s="82"/>
      <c r="K21" s="82"/>
      <c r="L21" s="82"/>
      <c r="M21" s="82"/>
      <c r="N21" s="82"/>
      <c r="O21" s="82"/>
      <c r="P21" s="82"/>
      <c r="Q21" s="82"/>
      <c r="R21" s="82"/>
      <c r="S21" s="82"/>
      <c r="T21" s="82"/>
      <c r="U21" s="82"/>
      <c r="V21" s="82"/>
      <c r="W21" s="82"/>
      <c r="X21" s="82"/>
      <c r="Y21" s="82"/>
      <c r="Z21" s="82"/>
      <c r="AA21" s="82"/>
      <c r="AB21" s="82"/>
      <c r="AC21" s="83"/>
    </row>
    <row r="22" spans="2:29" x14ac:dyDescent="0.25">
      <c r="B22" s="73"/>
      <c r="C22" s="66"/>
      <c r="D22" s="67"/>
      <c r="E22" s="67"/>
      <c r="G22" s="100"/>
      <c r="H22" s="82"/>
      <c r="I22" s="82"/>
      <c r="J22" s="82"/>
      <c r="K22" s="82"/>
      <c r="L22" s="82"/>
      <c r="M22" s="82"/>
      <c r="N22" s="82"/>
      <c r="O22" s="82"/>
      <c r="P22" s="82"/>
      <c r="Q22" s="82"/>
      <c r="R22" s="82"/>
      <c r="S22" s="82"/>
      <c r="T22" s="82"/>
      <c r="U22" s="82"/>
      <c r="V22" s="82"/>
      <c r="W22" s="82"/>
      <c r="X22" s="82"/>
      <c r="Y22" s="82"/>
      <c r="Z22" s="82"/>
      <c r="AA22" s="82"/>
      <c r="AB22" s="82"/>
      <c r="AC22" s="83"/>
    </row>
    <row r="23" spans="2:29" x14ac:dyDescent="0.25">
      <c r="B23" s="73"/>
      <c r="C23" s="66"/>
      <c r="D23" s="67"/>
      <c r="E23" s="67"/>
      <c r="G23" s="100"/>
      <c r="H23" s="82"/>
      <c r="I23" s="82"/>
      <c r="J23" s="82"/>
      <c r="K23" s="82"/>
      <c r="L23" s="82"/>
      <c r="M23" s="82"/>
      <c r="N23" s="82"/>
      <c r="O23" s="82"/>
      <c r="P23" s="82"/>
      <c r="Q23" s="82"/>
      <c r="R23" s="82"/>
      <c r="S23" s="82"/>
      <c r="T23" s="82"/>
      <c r="U23" s="82"/>
      <c r="V23" s="82"/>
      <c r="W23" s="82"/>
      <c r="X23" s="82"/>
      <c r="Y23" s="82"/>
      <c r="Z23" s="82"/>
      <c r="AA23" s="82"/>
      <c r="AB23" s="82"/>
      <c r="AC23" s="83"/>
    </row>
    <row r="24" spans="2:29" x14ac:dyDescent="0.25">
      <c r="B24" s="73"/>
      <c r="C24" s="66"/>
      <c r="D24" s="67"/>
      <c r="E24" s="67"/>
      <c r="G24" s="100"/>
      <c r="H24" s="82"/>
      <c r="I24" s="82"/>
      <c r="J24" s="82"/>
      <c r="K24" s="82"/>
      <c r="L24" s="82"/>
      <c r="M24" s="82"/>
      <c r="N24" s="82"/>
      <c r="O24" s="82"/>
      <c r="P24" s="82"/>
      <c r="Q24" s="82"/>
      <c r="R24" s="82"/>
      <c r="S24" s="82"/>
      <c r="T24" s="82"/>
      <c r="U24" s="82"/>
      <c r="V24" s="82"/>
      <c r="W24" s="82"/>
      <c r="X24" s="82"/>
      <c r="Y24" s="82"/>
      <c r="Z24" s="82"/>
      <c r="AA24" s="82"/>
      <c r="AB24" s="82"/>
      <c r="AC24" s="83"/>
    </row>
    <row r="25" spans="2:29" x14ac:dyDescent="0.25">
      <c r="B25" s="73"/>
      <c r="C25" s="66"/>
      <c r="D25" s="67"/>
      <c r="E25" s="67"/>
      <c r="G25" s="100"/>
      <c r="H25" s="82"/>
      <c r="I25" s="82"/>
      <c r="J25" s="82"/>
      <c r="K25" s="82"/>
      <c r="L25" s="82"/>
      <c r="M25" s="82"/>
      <c r="N25" s="82"/>
      <c r="O25" s="82"/>
      <c r="P25" s="82"/>
      <c r="Q25" s="82"/>
      <c r="R25" s="82"/>
      <c r="S25" s="82"/>
      <c r="T25" s="82"/>
      <c r="U25" s="82"/>
      <c r="V25" s="82"/>
      <c r="W25" s="82"/>
      <c r="X25" s="82"/>
      <c r="Y25" s="82"/>
      <c r="Z25" s="82"/>
      <c r="AA25" s="82"/>
      <c r="AB25" s="82"/>
      <c r="AC25" s="83"/>
    </row>
    <row r="26" spans="2:29" x14ac:dyDescent="0.25">
      <c r="B26" s="73"/>
      <c r="C26" s="66"/>
      <c r="D26" s="67"/>
      <c r="E26" s="67"/>
      <c r="G26" s="100"/>
      <c r="H26" s="82"/>
      <c r="I26" s="82"/>
      <c r="J26" s="82"/>
      <c r="K26" s="82"/>
      <c r="L26" s="82"/>
      <c r="M26" s="82"/>
      <c r="N26" s="82"/>
      <c r="O26" s="82"/>
      <c r="P26" s="82"/>
      <c r="Q26" s="82"/>
      <c r="R26" s="82"/>
      <c r="S26" s="82"/>
      <c r="T26" s="82"/>
      <c r="U26" s="82"/>
      <c r="V26" s="82"/>
      <c r="W26" s="82"/>
      <c r="X26" s="82"/>
      <c r="Y26" s="82"/>
      <c r="Z26" s="82"/>
      <c r="AA26" s="82"/>
      <c r="AB26" s="82"/>
      <c r="AC26" s="83"/>
    </row>
    <row r="27" spans="2:29" x14ac:dyDescent="0.25">
      <c r="B27" s="73"/>
      <c r="C27" s="66"/>
      <c r="D27" s="67"/>
      <c r="E27" s="67"/>
      <c r="G27" s="100"/>
      <c r="H27" s="82"/>
      <c r="I27" s="82"/>
      <c r="J27" s="82"/>
      <c r="K27" s="82"/>
      <c r="L27" s="82"/>
      <c r="M27" s="82"/>
      <c r="N27" s="82"/>
      <c r="O27" s="82"/>
      <c r="P27" s="82"/>
      <c r="Q27" s="82"/>
      <c r="R27" s="82"/>
      <c r="S27" s="82"/>
      <c r="T27" s="82"/>
      <c r="U27" s="82"/>
      <c r="V27" s="82"/>
      <c r="W27" s="82"/>
      <c r="X27" s="82"/>
      <c r="Y27" s="82"/>
      <c r="Z27" s="82"/>
      <c r="AA27" s="82"/>
      <c r="AB27" s="82"/>
      <c r="AC27" s="83"/>
    </row>
    <row r="28" spans="2:29" x14ac:dyDescent="0.25">
      <c r="B28" s="73"/>
      <c r="C28" s="66"/>
      <c r="D28" s="67"/>
      <c r="E28" s="67"/>
      <c r="G28" s="100"/>
      <c r="H28" s="82"/>
      <c r="I28" s="82"/>
      <c r="J28" s="82"/>
      <c r="K28" s="82"/>
      <c r="L28" s="82"/>
      <c r="M28" s="82"/>
      <c r="N28" s="82"/>
      <c r="O28" s="82"/>
      <c r="P28" s="82"/>
      <c r="Q28" s="82"/>
      <c r="R28" s="82"/>
      <c r="S28" s="82"/>
      <c r="T28" s="82"/>
      <c r="U28" s="82"/>
      <c r="V28" s="82"/>
      <c r="W28" s="82"/>
      <c r="X28" s="82"/>
      <c r="Y28" s="82"/>
      <c r="Z28" s="82"/>
      <c r="AA28" s="82"/>
      <c r="AB28" s="82"/>
      <c r="AC28" s="83"/>
    </row>
    <row r="29" spans="2:29" x14ac:dyDescent="0.25">
      <c r="B29" s="73"/>
      <c r="C29" s="66"/>
      <c r="D29" s="67"/>
      <c r="E29" s="67"/>
      <c r="G29" s="100"/>
      <c r="H29" s="82"/>
      <c r="I29" s="82"/>
      <c r="J29" s="82"/>
      <c r="K29" s="82"/>
      <c r="L29" s="82"/>
      <c r="M29" s="82"/>
      <c r="N29" s="82"/>
      <c r="O29" s="82"/>
      <c r="P29" s="82"/>
      <c r="Q29" s="82"/>
      <c r="R29" s="82"/>
      <c r="S29" s="82"/>
      <c r="T29" s="82"/>
      <c r="U29" s="82"/>
      <c r="V29" s="82"/>
      <c r="W29" s="82"/>
      <c r="X29" s="82"/>
      <c r="Y29" s="82"/>
      <c r="Z29" s="82"/>
      <c r="AA29" s="82"/>
      <c r="AB29" s="82"/>
      <c r="AC29" s="83"/>
    </row>
    <row r="30" spans="2:29" x14ac:dyDescent="0.25">
      <c r="B30" s="73"/>
      <c r="C30" s="66"/>
      <c r="D30" s="67"/>
      <c r="E30" s="67"/>
      <c r="G30" s="100"/>
      <c r="H30" s="82"/>
      <c r="I30" s="82"/>
      <c r="J30" s="82"/>
      <c r="K30" s="82"/>
      <c r="L30" s="82"/>
      <c r="M30" s="82"/>
      <c r="N30" s="82"/>
      <c r="O30" s="82"/>
      <c r="P30" s="82"/>
      <c r="Q30" s="82"/>
      <c r="R30" s="82"/>
      <c r="S30" s="82"/>
      <c r="T30" s="82"/>
      <c r="U30" s="82"/>
      <c r="V30" s="82"/>
      <c r="W30" s="82"/>
      <c r="X30" s="82"/>
      <c r="Y30" s="82"/>
      <c r="Z30" s="82"/>
      <c r="AA30" s="82"/>
      <c r="AB30" s="82"/>
      <c r="AC30" s="83"/>
    </row>
    <row r="31" spans="2:29" x14ac:dyDescent="0.25">
      <c r="C31" s="66"/>
      <c r="D31" s="67"/>
      <c r="E31" s="67"/>
      <c r="G31" s="100"/>
      <c r="H31" s="82"/>
      <c r="I31" s="82"/>
      <c r="J31" s="82"/>
      <c r="K31" s="82"/>
      <c r="L31" s="82"/>
      <c r="M31" s="82"/>
      <c r="N31" s="82"/>
      <c r="O31" s="82"/>
      <c r="P31" s="82"/>
      <c r="Q31" s="82"/>
      <c r="R31" s="82"/>
      <c r="S31" s="82"/>
      <c r="T31" s="82"/>
      <c r="U31" s="82"/>
      <c r="V31" s="82"/>
      <c r="W31" s="82"/>
      <c r="X31" s="82"/>
      <c r="Y31" s="82"/>
      <c r="Z31" s="82"/>
      <c r="AA31" s="82"/>
      <c r="AB31" s="82"/>
      <c r="AC31" s="83"/>
    </row>
    <row r="32" spans="2:29" ht="15.75" thickBot="1" x14ac:dyDescent="0.3">
      <c r="C32" s="66"/>
      <c r="D32" s="67"/>
      <c r="E32" s="67"/>
      <c r="G32" s="101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  <c r="W32" s="87"/>
      <c r="X32" s="87"/>
      <c r="Y32" s="87"/>
      <c r="Z32" s="87"/>
      <c r="AA32" s="87"/>
      <c r="AB32" s="87"/>
      <c r="AC32" s="88"/>
    </row>
    <row r="33" spans="3:29" ht="15.75" thickBot="1" x14ac:dyDescent="0.3">
      <c r="C33" s="66"/>
      <c r="D33" s="67"/>
      <c r="E33" s="67"/>
    </row>
    <row r="34" spans="3:29" x14ac:dyDescent="0.25">
      <c r="G34" s="99"/>
      <c r="H34" s="79"/>
      <c r="I34" s="79"/>
      <c r="J34" s="79"/>
      <c r="K34" s="79"/>
      <c r="L34" s="79"/>
      <c r="M34" s="79"/>
      <c r="N34" s="79"/>
      <c r="O34" s="79"/>
      <c r="P34" s="79"/>
      <c r="Q34" s="79"/>
      <c r="R34" s="79"/>
      <c r="S34" s="79"/>
      <c r="T34" s="79"/>
      <c r="U34" s="79"/>
      <c r="V34" s="79"/>
      <c r="W34" s="79"/>
      <c r="X34" s="79"/>
      <c r="Y34" s="79"/>
      <c r="Z34" s="79"/>
      <c r="AA34" s="79"/>
      <c r="AB34" s="79"/>
      <c r="AC34" s="80"/>
    </row>
    <row r="35" spans="3:29" x14ac:dyDescent="0.25">
      <c r="G35" s="100"/>
      <c r="H35" s="82"/>
      <c r="I35" s="82"/>
      <c r="J35" s="82"/>
      <c r="K35" s="82"/>
      <c r="L35" s="82"/>
      <c r="M35" s="82"/>
      <c r="N35" s="82"/>
      <c r="O35" s="82"/>
      <c r="P35" s="82"/>
      <c r="Q35" s="82"/>
      <c r="R35" s="82"/>
      <c r="S35" s="82"/>
      <c r="T35" s="82"/>
      <c r="U35" s="82"/>
      <c r="V35" s="82"/>
      <c r="W35" s="82"/>
      <c r="X35" s="82"/>
      <c r="Y35" s="82"/>
      <c r="Z35" s="82"/>
      <c r="AA35" s="82"/>
      <c r="AB35" s="82"/>
      <c r="AC35" s="83"/>
    </row>
    <row r="36" spans="3:29" x14ac:dyDescent="0.25">
      <c r="G36" s="100"/>
      <c r="H36" s="82"/>
      <c r="I36" s="82"/>
      <c r="J36" s="82"/>
      <c r="K36" s="82"/>
      <c r="L36" s="82"/>
      <c r="M36" s="82"/>
      <c r="N36" s="82"/>
      <c r="O36" s="82"/>
      <c r="P36" s="82"/>
      <c r="Q36" s="82"/>
      <c r="R36" s="82"/>
      <c r="S36" s="82"/>
      <c r="T36" s="82"/>
      <c r="U36" s="82"/>
      <c r="V36" s="82"/>
      <c r="W36" s="82"/>
      <c r="X36" s="82"/>
      <c r="Y36" s="82"/>
      <c r="Z36" s="82"/>
      <c r="AA36" s="82"/>
      <c r="AB36" s="82"/>
      <c r="AC36" s="83"/>
    </row>
    <row r="37" spans="3:29" x14ac:dyDescent="0.25">
      <c r="G37" s="100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82"/>
      <c r="X37" s="82"/>
      <c r="Y37" s="82"/>
      <c r="Z37" s="82"/>
      <c r="AA37" s="82"/>
      <c r="AB37" s="82"/>
      <c r="AC37" s="83"/>
    </row>
    <row r="38" spans="3:29" x14ac:dyDescent="0.25">
      <c r="G38" s="100"/>
      <c r="H38" s="82"/>
      <c r="I38" s="82"/>
      <c r="J38" s="82"/>
      <c r="K38" s="82"/>
      <c r="L38" s="82"/>
      <c r="M38" s="82"/>
      <c r="N38" s="82"/>
      <c r="O38" s="82"/>
      <c r="P38" s="82"/>
      <c r="Q38" s="82"/>
      <c r="R38" s="82"/>
      <c r="S38" s="82"/>
      <c r="T38" s="82"/>
      <c r="U38" s="82"/>
      <c r="V38" s="82"/>
      <c r="W38" s="82"/>
      <c r="X38" s="82"/>
      <c r="Y38" s="82"/>
      <c r="Z38" s="82"/>
      <c r="AA38" s="82"/>
      <c r="AB38" s="82"/>
      <c r="AC38" s="83"/>
    </row>
    <row r="39" spans="3:29" x14ac:dyDescent="0.25">
      <c r="G39" s="100"/>
      <c r="H39" s="82"/>
      <c r="I39" s="82"/>
      <c r="J39" s="82"/>
      <c r="K39" s="82"/>
      <c r="L39" s="82"/>
      <c r="M39" s="82"/>
      <c r="N39" s="82"/>
      <c r="O39" s="82"/>
      <c r="P39" s="82"/>
      <c r="Q39" s="82"/>
      <c r="R39" s="82"/>
      <c r="S39" s="82"/>
      <c r="T39" s="82"/>
      <c r="U39" s="82"/>
      <c r="V39" s="82"/>
      <c r="W39" s="82"/>
      <c r="X39" s="82"/>
      <c r="Y39" s="82"/>
      <c r="Z39" s="82"/>
      <c r="AA39" s="82"/>
      <c r="AB39" s="82"/>
      <c r="AC39" s="83"/>
    </row>
    <row r="40" spans="3:29" x14ac:dyDescent="0.25">
      <c r="G40" s="100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82"/>
      <c r="T40" s="82"/>
      <c r="U40" s="82"/>
      <c r="V40" s="82"/>
      <c r="W40" s="82"/>
      <c r="X40" s="82"/>
      <c r="Y40" s="82"/>
      <c r="Z40" s="82"/>
      <c r="AA40" s="82"/>
      <c r="AB40" s="82"/>
      <c r="AC40" s="83"/>
    </row>
    <row r="41" spans="3:29" x14ac:dyDescent="0.25">
      <c r="G41" s="100"/>
      <c r="H41" s="82"/>
      <c r="I41" s="82"/>
      <c r="J41" s="82"/>
      <c r="K41" s="82"/>
      <c r="L41" s="82"/>
      <c r="M41" s="82"/>
      <c r="N41" s="82"/>
      <c r="O41" s="82"/>
      <c r="P41" s="82"/>
      <c r="Q41" s="82"/>
      <c r="R41" s="82"/>
      <c r="S41" s="82"/>
      <c r="T41" s="82"/>
      <c r="U41" s="82"/>
      <c r="V41" s="82"/>
      <c r="W41" s="82"/>
      <c r="X41" s="82"/>
      <c r="Y41" s="82"/>
      <c r="Z41" s="82"/>
      <c r="AA41" s="82"/>
      <c r="AB41" s="82"/>
      <c r="AC41" s="83"/>
    </row>
    <row r="42" spans="3:29" x14ac:dyDescent="0.25">
      <c r="G42" s="100"/>
      <c r="H42" s="82"/>
      <c r="I42" s="82"/>
      <c r="J42" s="82"/>
      <c r="K42" s="82"/>
      <c r="L42" s="82"/>
      <c r="M42" s="82"/>
      <c r="N42" s="82"/>
      <c r="O42" s="82"/>
      <c r="P42" s="82"/>
      <c r="Q42" s="82"/>
      <c r="R42" s="82"/>
      <c r="S42" s="82"/>
      <c r="T42" s="82"/>
      <c r="U42" s="82"/>
      <c r="V42" s="82"/>
      <c r="W42" s="82"/>
      <c r="X42" s="82"/>
      <c r="Y42" s="82"/>
      <c r="Z42" s="82"/>
      <c r="AA42" s="82"/>
      <c r="AB42" s="82"/>
      <c r="AC42" s="83"/>
    </row>
    <row r="43" spans="3:29" x14ac:dyDescent="0.25">
      <c r="G43" s="100"/>
      <c r="H43" s="82"/>
      <c r="I43" s="82"/>
      <c r="J43" s="82"/>
      <c r="K43" s="82"/>
      <c r="L43" s="82"/>
      <c r="M43" s="82"/>
      <c r="N43" s="82"/>
      <c r="O43" s="82"/>
      <c r="P43" s="82"/>
      <c r="Q43" s="82"/>
      <c r="R43" s="82"/>
      <c r="S43" s="82"/>
      <c r="T43" s="82"/>
      <c r="U43" s="82"/>
      <c r="V43" s="82"/>
      <c r="W43" s="82"/>
      <c r="X43" s="82"/>
      <c r="Y43" s="82"/>
      <c r="Z43" s="82"/>
      <c r="AA43" s="82"/>
      <c r="AB43" s="82"/>
      <c r="AC43" s="83"/>
    </row>
    <row r="44" spans="3:29" x14ac:dyDescent="0.25">
      <c r="G44" s="100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82"/>
      <c r="U44" s="82"/>
      <c r="V44" s="82"/>
      <c r="W44" s="82"/>
      <c r="X44" s="82"/>
      <c r="Y44" s="82"/>
      <c r="Z44" s="82"/>
      <c r="AA44" s="82"/>
      <c r="AB44" s="82"/>
      <c r="AC44" s="83"/>
    </row>
    <row r="45" spans="3:29" x14ac:dyDescent="0.25">
      <c r="G45" s="100"/>
      <c r="H45" s="82"/>
      <c r="I45" s="82"/>
      <c r="J45" s="82"/>
      <c r="K45" s="82"/>
      <c r="L45" s="82"/>
      <c r="M45" s="82"/>
      <c r="N45" s="82"/>
      <c r="O45" s="82"/>
      <c r="P45" s="82"/>
      <c r="Q45" s="82"/>
      <c r="R45" s="82"/>
      <c r="S45" s="82"/>
      <c r="T45" s="82"/>
      <c r="U45" s="82"/>
      <c r="V45" s="82"/>
      <c r="W45" s="82"/>
      <c r="X45" s="82"/>
      <c r="Y45" s="82"/>
      <c r="Z45" s="82"/>
      <c r="AA45" s="82"/>
      <c r="AB45" s="82"/>
      <c r="AC45" s="83"/>
    </row>
    <row r="46" spans="3:29" x14ac:dyDescent="0.25">
      <c r="G46" s="100"/>
      <c r="H46" s="82"/>
      <c r="I46" s="82"/>
      <c r="J46" s="82"/>
      <c r="K46" s="82"/>
      <c r="L46" s="82"/>
      <c r="M46" s="82"/>
      <c r="N46" s="82"/>
      <c r="O46" s="82"/>
      <c r="P46" s="82"/>
      <c r="Q46" s="82"/>
      <c r="R46" s="82"/>
      <c r="S46" s="82"/>
      <c r="T46" s="82"/>
      <c r="U46" s="82"/>
      <c r="V46" s="82"/>
      <c r="W46" s="82"/>
      <c r="X46" s="82"/>
      <c r="Y46" s="82"/>
      <c r="Z46" s="82"/>
      <c r="AA46" s="82"/>
      <c r="AB46" s="82"/>
      <c r="AC46" s="83"/>
    </row>
    <row r="47" spans="3:29" x14ac:dyDescent="0.25">
      <c r="G47" s="100"/>
      <c r="H47" s="82"/>
      <c r="I47" s="82"/>
      <c r="J47" s="82"/>
      <c r="K47" s="82"/>
      <c r="L47" s="82"/>
      <c r="M47" s="82"/>
      <c r="N47" s="82"/>
      <c r="O47" s="82"/>
      <c r="P47" s="82"/>
      <c r="Q47" s="82"/>
      <c r="R47" s="82"/>
      <c r="S47" s="82"/>
      <c r="T47" s="82"/>
      <c r="U47" s="82"/>
      <c r="V47" s="82"/>
      <c r="W47" s="82"/>
      <c r="X47" s="82"/>
      <c r="Y47" s="82"/>
      <c r="Z47" s="82"/>
      <c r="AA47" s="82"/>
      <c r="AB47" s="82"/>
      <c r="AC47" s="83"/>
    </row>
    <row r="48" spans="3:29" x14ac:dyDescent="0.25">
      <c r="G48" s="100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82"/>
      <c r="U48" s="82"/>
      <c r="V48" s="82"/>
      <c r="W48" s="82"/>
      <c r="X48" s="82"/>
      <c r="Y48" s="82"/>
      <c r="Z48" s="82"/>
      <c r="AA48" s="82"/>
      <c r="AB48" s="82"/>
      <c r="AC48" s="83"/>
    </row>
    <row r="49" spans="7:29" x14ac:dyDescent="0.25">
      <c r="G49" s="100"/>
      <c r="H49" s="82"/>
      <c r="I49" s="82"/>
      <c r="J49" s="82"/>
      <c r="K49" s="82"/>
      <c r="L49" s="82"/>
      <c r="M49" s="82"/>
      <c r="N49" s="82"/>
      <c r="O49" s="82"/>
      <c r="P49" s="82"/>
      <c r="Q49" s="82"/>
      <c r="R49" s="82"/>
      <c r="S49" s="82"/>
      <c r="T49" s="82"/>
      <c r="U49" s="82"/>
      <c r="V49" s="82"/>
      <c r="W49" s="82"/>
      <c r="X49" s="82"/>
      <c r="Y49" s="82"/>
      <c r="Z49" s="82"/>
      <c r="AA49" s="82"/>
      <c r="AB49" s="82"/>
      <c r="AC49" s="83"/>
    </row>
    <row r="50" spans="7:29" x14ac:dyDescent="0.25">
      <c r="G50" s="100"/>
      <c r="H50" s="82"/>
      <c r="I50" s="82"/>
      <c r="J50" s="82"/>
      <c r="K50" s="82"/>
      <c r="L50" s="82"/>
      <c r="M50" s="82"/>
      <c r="N50" s="82"/>
      <c r="O50" s="82"/>
      <c r="P50" s="82"/>
      <c r="Q50" s="82"/>
      <c r="R50" s="82"/>
      <c r="S50" s="82"/>
      <c r="T50" s="82"/>
      <c r="U50" s="82"/>
      <c r="V50" s="82"/>
      <c r="W50" s="82"/>
      <c r="X50" s="82"/>
      <c r="Y50" s="82"/>
      <c r="Z50" s="82"/>
      <c r="AA50" s="82"/>
      <c r="AB50" s="82"/>
      <c r="AC50" s="83"/>
    </row>
    <row r="51" spans="7:29" x14ac:dyDescent="0.25">
      <c r="G51" s="100"/>
      <c r="H51" s="82"/>
      <c r="I51" s="82"/>
      <c r="J51" s="82"/>
      <c r="K51" s="82"/>
      <c r="L51" s="82"/>
      <c r="M51" s="82"/>
      <c r="N51" s="82"/>
      <c r="O51" s="82"/>
      <c r="P51" s="82"/>
      <c r="Q51" s="82"/>
      <c r="R51" s="82"/>
      <c r="S51" s="82"/>
      <c r="T51" s="82"/>
      <c r="U51" s="82"/>
      <c r="V51" s="82"/>
      <c r="W51" s="82"/>
      <c r="X51" s="82"/>
      <c r="Y51" s="82"/>
      <c r="Z51" s="82"/>
      <c r="AA51" s="82"/>
      <c r="AB51" s="82"/>
      <c r="AC51" s="83"/>
    </row>
    <row r="52" spans="7:29" x14ac:dyDescent="0.25">
      <c r="G52" s="100"/>
      <c r="H52" s="82"/>
      <c r="I52" s="82"/>
      <c r="J52" s="82"/>
      <c r="K52" s="82"/>
      <c r="L52" s="82"/>
      <c r="M52" s="82"/>
      <c r="N52" s="82"/>
      <c r="O52" s="82"/>
      <c r="P52" s="82"/>
      <c r="Q52" s="82"/>
      <c r="R52" s="82"/>
      <c r="S52" s="82"/>
      <c r="T52" s="82"/>
      <c r="U52" s="82"/>
      <c r="V52" s="82"/>
      <c r="W52" s="82"/>
      <c r="X52" s="82"/>
      <c r="Y52" s="82"/>
      <c r="Z52" s="82"/>
      <c r="AA52" s="82"/>
      <c r="AB52" s="82"/>
      <c r="AC52" s="83"/>
    </row>
    <row r="53" spans="7:29" x14ac:dyDescent="0.25">
      <c r="G53" s="100"/>
      <c r="H53" s="82"/>
      <c r="I53" s="82"/>
      <c r="J53" s="82"/>
      <c r="K53" s="82"/>
      <c r="L53" s="82"/>
      <c r="M53" s="82"/>
      <c r="N53" s="82"/>
      <c r="O53" s="82"/>
      <c r="P53" s="82"/>
      <c r="Q53" s="82"/>
      <c r="R53" s="82"/>
      <c r="S53" s="82"/>
      <c r="T53" s="82"/>
      <c r="U53" s="82"/>
      <c r="V53" s="82"/>
      <c r="W53" s="82"/>
      <c r="X53" s="82"/>
      <c r="Y53" s="82"/>
      <c r="Z53" s="82"/>
      <c r="AA53" s="82"/>
      <c r="AB53" s="82"/>
      <c r="AC53" s="83"/>
    </row>
    <row r="54" spans="7:29" x14ac:dyDescent="0.25">
      <c r="G54" s="100"/>
      <c r="H54" s="82"/>
      <c r="I54" s="82"/>
      <c r="J54" s="82"/>
      <c r="K54" s="82"/>
      <c r="L54" s="82"/>
      <c r="M54" s="82"/>
      <c r="N54" s="82"/>
      <c r="O54" s="82"/>
      <c r="P54" s="82"/>
      <c r="Q54" s="82"/>
      <c r="R54" s="82"/>
      <c r="S54" s="82"/>
      <c r="T54" s="82"/>
      <c r="U54" s="82"/>
      <c r="V54" s="82"/>
      <c r="W54" s="82"/>
      <c r="X54" s="82"/>
      <c r="Y54" s="82"/>
      <c r="Z54" s="82"/>
      <c r="AA54" s="82"/>
      <c r="AB54" s="82"/>
      <c r="AC54" s="83"/>
    </row>
    <row r="55" spans="7:29" x14ac:dyDescent="0.25">
      <c r="G55" s="100"/>
      <c r="H55" s="82"/>
      <c r="I55" s="82"/>
      <c r="J55" s="82"/>
      <c r="K55" s="82"/>
      <c r="L55" s="82"/>
      <c r="M55" s="82"/>
      <c r="N55" s="82"/>
      <c r="O55" s="82"/>
      <c r="P55" s="82"/>
      <c r="Q55" s="82"/>
      <c r="R55" s="82"/>
      <c r="S55" s="82"/>
      <c r="T55" s="82"/>
      <c r="U55" s="82"/>
      <c r="V55" s="82"/>
      <c r="W55" s="82"/>
      <c r="X55" s="82"/>
      <c r="Y55" s="82"/>
      <c r="Z55" s="82"/>
      <c r="AA55" s="82"/>
      <c r="AB55" s="82"/>
      <c r="AC55" s="83"/>
    </row>
    <row r="56" spans="7:29" x14ac:dyDescent="0.25">
      <c r="G56" s="100"/>
      <c r="H56" s="82"/>
      <c r="I56" s="82"/>
      <c r="J56" s="82"/>
      <c r="K56" s="82"/>
      <c r="L56" s="82"/>
      <c r="M56" s="82"/>
      <c r="N56" s="82"/>
      <c r="O56" s="82"/>
      <c r="P56" s="82"/>
      <c r="Q56" s="82"/>
      <c r="R56" s="82"/>
      <c r="S56" s="82"/>
      <c r="T56" s="82"/>
      <c r="U56" s="82"/>
      <c r="V56" s="82"/>
      <c r="W56" s="82"/>
      <c r="X56" s="82"/>
      <c r="Y56" s="82"/>
      <c r="Z56" s="82"/>
      <c r="AA56" s="82"/>
      <c r="AB56" s="82"/>
      <c r="AC56" s="83"/>
    </row>
    <row r="57" spans="7:29" x14ac:dyDescent="0.25">
      <c r="G57" s="100"/>
      <c r="H57" s="82"/>
      <c r="I57" s="82"/>
      <c r="J57" s="82"/>
      <c r="K57" s="82"/>
      <c r="L57" s="82"/>
      <c r="M57" s="82"/>
      <c r="N57" s="82"/>
      <c r="O57" s="82"/>
      <c r="P57" s="82"/>
      <c r="Q57" s="82"/>
      <c r="R57" s="82"/>
      <c r="S57" s="82"/>
      <c r="T57" s="82"/>
      <c r="U57" s="82"/>
      <c r="V57" s="82"/>
      <c r="W57" s="82"/>
      <c r="X57" s="82"/>
      <c r="Y57" s="82"/>
      <c r="Z57" s="82"/>
      <c r="AA57" s="82"/>
      <c r="AB57" s="82"/>
      <c r="AC57" s="83"/>
    </row>
    <row r="58" spans="7:29" x14ac:dyDescent="0.25">
      <c r="G58" s="100"/>
      <c r="H58" s="82"/>
      <c r="I58" s="82"/>
      <c r="J58" s="82"/>
      <c r="K58" s="82"/>
      <c r="L58" s="82"/>
      <c r="M58" s="82"/>
      <c r="N58" s="82"/>
      <c r="O58" s="82"/>
      <c r="P58" s="82"/>
      <c r="Q58" s="82"/>
      <c r="R58" s="82"/>
      <c r="S58" s="82"/>
      <c r="T58" s="82"/>
      <c r="U58" s="82"/>
      <c r="V58" s="82"/>
      <c r="W58" s="82"/>
      <c r="X58" s="82"/>
      <c r="Y58" s="82"/>
      <c r="Z58" s="82"/>
      <c r="AA58" s="82"/>
      <c r="AB58" s="82"/>
      <c r="AC58" s="83"/>
    </row>
    <row r="59" spans="7:29" x14ac:dyDescent="0.25">
      <c r="G59" s="100"/>
      <c r="H59" s="82"/>
      <c r="I59" s="82"/>
      <c r="J59" s="82"/>
      <c r="K59" s="82"/>
      <c r="L59" s="82"/>
      <c r="M59" s="82"/>
      <c r="N59" s="82"/>
      <c r="O59" s="82"/>
      <c r="P59" s="82"/>
      <c r="Q59" s="82"/>
      <c r="R59" s="82"/>
      <c r="S59" s="82"/>
      <c r="T59" s="82"/>
      <c r="U59" s="82"/>
      <c r="V59" s="82"/>
      <c r="W59" s="82"/>
      <c r="X59" s="82"/>
      <c r="Y59" s="82"/>
      <c r="Z59" s="82"/>
      <c r="AA59" s="82"/>
      <c r="AB59" s="82"/>
      <c r="AC59" s="83"/>
    </row>
    <row r="60" spans="7:29" x14ac:dyDescent="0.25">
      <c r="G60" s="100"/>
      <c r="H60" s="82"/>
      <c r="I60" s="82"/>
      <c r="J60" s="82"/>
      <c r="K60" s="82"/>
      <c r="L60" s="82"/>
      <c r="M60" s="82"/>
      <c r="N60" s="82"/>
      <c r="O60" s="82"/>
      <c r="P60" s="82"/>
      <c r="Q60" s="82"/>
      <c r="R60" s="82"/>
      <c r="S60" s="82"/>
      <c r="T60" s="82"/>
      <c r="U60" s="82"/>
      <c r="V60" s="82"/>
      <c r="W60" s="82"/>
      <c r="X60" s="82"/>
      <c r="Y60" s="82"/>
      <c r="Z60" s="82"/>
      <c r="AA60" s="82"/>
      <c r="AB60" s="82"/>
      <c r="AC60" s="83"/>
    </row>
    <row r="61" spans="7:29" x14ac:dyDescent="0.25">
      <c r="G61" s="100"/>
      <c r="H61" s="82"/>
      <c r="I61" s="82"/>
      <c r="J61" s="82"/>
      <c r="K61" s="82"/>
      <c r="L61" s="82"/>
      <c r="M61" s="82"/>
      <c r="N61" s="82"/>
      <c r="O61" s="82"/>
      <c r="P61" s="82"/>
      <c r="Q61" s="82"/>
      <c r="R61" s="82"/>
      <c r="S61" s="82"/>
      <c r="T61" s="82"/>
      <c r="U61" s="82"/>
      <c r="V61" s="82"/>
      <c r="W61" s="82"/>
      <c r="X61" s="82"/>
      <c r="Y61" s="82"/>
      <c r="Z61" s="82"/>
      <c r="AA61" s="82"/>
      <c r="AB61" s="82"/>
      <c r="AC61" s="83"/>
    </row>
    <row r="62" spans="7:29" x14ac:dyDescent="0.25">
      <c r="G62" s="100"/>
      <c r="H62" s="82"/>
      <c r="I62" s="82"/>
      <c r="J62" s="82"/>
      <c r="K62" s="82"/>
      <c r="L62" s="82"/>
      <c r="M62" s="82"/>
      <c r="N62" s="82"/>
      <c r="O62" s="82"/>
      <c r="P62" s="82"/>
      <c r="Q62" s="82"/>
      <c r="R62" s="82"/>
      <c r="S62" s="82"/>
      <c r="T62" s="82"/>
      <c r="U62" s="82"/>
      <c r="V62" s="82"/>
      <c r="W62" s="82"/>
      <c r="X62" s="82"/>
      <c r="Y62" s="82"/>
      <c r="Z62" s="82"/>
      <c r="AA62" s="82"/>
      <c r="AB62" s="82"/>
      <c r="AC62" s="83"/>
    </row>
    <row r="63" spans="7:29" x14ac:dyDescent="0.25">
      <c r="G63" s="100"/>
      <c r="H63" s="82"/>
      <c r="I63" s="82"/>
      <c r="J63" s="82"/>
      <c r="K63" s="82"/>
      <c r="L63" s="82"/>
      <c r="M63" s="82"/>
      <c r="N63" s="82"/>
      <c r="O63" s="82"/>
      <c r="P63" s="82"/>
      <c r="Q63" s="82"/>
      <c r="R63" s="82"/>
      <c r="S63" s="82"/>
      <c r="T63" s="82"/>
      <c r="U63" s="82"/>
      <c r="V63" s="82"/>
      <c r="W63" s="82"/>
      <c r="X63" s="82"/>
      <c r="Y63" s="82"/>
      <c r="Z63" s="82"/>
      <c r="AA63" s="82"/>
      <c r="AB63" s="82"/>
      <c r="AC63" s="83"/>
    </row>
    <row r="64" spans="7:29" ht="15.75" thickBot="1" x14ac:dyDescent="0.3">
      <c r="G64" s="101"/>
      <c r="H64" s="87"/>
      <c r="I64" s="87"/>
      <c r="J64" s="87"/>
      <c r="K64" s="87"/>
      <c r="L64" s="87"/>
      <c r="M64" s="87"/>
      <c r="N64" s="87"/>
      <c r="O64" s="87"/>
      <c r="P64" s="87"/>
      <c r="Q64" s="87"/>
      <c r="R64" s="87"/>
      <c r="S64" s="87"/>
      <c r="T64" s="87"/>
      <c r="U64" s="87"/>
      <c r="V64" s="87"/>
      <c r="W64" s="87"/>
      <c r="X64" s="87"/>
      <c r="Y64" s="87"/>
      <c r="Z64" s="87"/>
      <c r="AA64" s="87"/>
      <c r="AB64" s="87"/>
      <c r="AC64" s="88"/>
    </row>
  </sheetData>
  <sortState ref="A4:M12">
    <sortCondition ref="C4:C12"/>
  </sortState>
  <mergeCells count="10">
    <mergeCell ref="E2:E3"/>
    <mergeCell ref="E12:E13"/>
    <mergeCell ref="B2:B3"/>
    <mergeCell ref="C2:C3"/>
    <mergeCell ref="D2:D3"/>
    <mergeCell ref="D12:D13"/>
    <mergeCell ref="B4:B6"/>
    <mergeCell ref="B7:B8"/>
    <mergeCell ref="B9:B11"/>
    <mergeCell ref="B12:C13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W268"/>
  <sheetViews>
    <sheetView showGridLines="0" workbookViewId="0">
      <selection activeCell="P6" sqref="P6"/>
    </sheetView>
  </sheetViews>
  <sheetFormatPr defaultRowHeight="15" x14ac:dyDescent="0.25"/>
  <cols>
    <col min="1" max="1" width="2.42578125" customWidth="1"/>
    <col min="2" max="2" width="14.7109375" style="15" customWidth="1"/>
    <col min="3" max="3" width="14.7109375" style="1" customWidth="1"/>
    <col min="4" max="4" width="10.7109375" style="1" customWidth="1"/>
    <col min="5" max="5" width="14.7109375" style="1" customWidth="1"/>
    <col min="6" max="6" width="10.7109375" style="1" customWidth="1"/>
    <col min="7" max="7" width="12.7109375" style="1" customWidth="1"/>
    <col min="8" max="10" width="14.7109375" style="1" customWidth="1"/>
    <col min="11" max="11" width="2.42578125" customWidth="1"/>
  </cols>
  <sheetData>
    <row r="1" spans="1:23" ht="15.75" thickBot="1" x14ac:dyDescent="0.3">
      <c r="I1" s="76"/>
    </row>
    <row r="2" spans="1:23" ht="15" customHeight="1" x14ac:dyDescent="0.25">
      <c r="B2" s="128" t="s">
        <v>22</v>
      </c>
      <c r="C2" s="133" t="s">
        <v>208</v>
      </c>
      <c r="D2" s="133" t="s">
        <v>215</v>
      </c>
      <c r="E2" s="133" t="s">
        <v>209</v>
      </c>
      <c r="F2" s="133" t="s">
        <v>210</v>
      </c>
      <c r="G2" s="133" t="s">
        <v>211</v>
      </c>
      <c r="H2" s="133" t="s">
        <v>212</v>
      </c>
      <c r="I2" s="133" t="s">
        <v>214</v>
      </c>
      <c r="J2" s="133" t="s">
        <v>213</v>
      </c>
    </row>
    <row r="3" spans="1:23" ht="15.75" customHeight="1" thickBot="1" x14ac:dyDescent="0.3">
      <c r="B3" s="129"/>
      <c r="C3" s="135"/>
      <c r="D3" s="135"/>
      <c r="E3" s="135"/>
      <c r="F3" s="135"/>
      <c r="G3" s="135"/>
      <c r="H3" s="135"/>
      <c r="I3" s="135"/>
      <c r="J3" s="135"/>
    </row>
    <row r="4" spans="1:23" x14ac:dyDescent="0.25">
      <c r="A4" s="69"/>
      <c r="B4" s="58" t="s">
        <v>89</v>
      </c>
      <c r="C4" s="61">
        <f>SUM(SUMIF('Raw Data'!$D$5:$D$514,$B4, 'Raw Data'!$I$5:$KI$514))</f>
        <v>58126.020000000004</v>
      </c>
      <c r="D4" s="74">
        <f>SUM(COUNTIF('Raw Data'!$D$5:$D$514,$B4))</f>
        <v>3</v>
      </c>
      <c r="E4" s="61">
        <f>SUM(SUMIF('Raw Data'!$D$5:$D$514,$B4, 'Raw Data'!$I$5:$I$514))/SUM(COUNTIF('Raw Data'!$D$5:$D$514,$B4))</f>
        <v>19375.34</v>
      </c>
      <c r="F4" s="70">
        <f>SUM(SUMIF('Raw Data'!$D$5:$D$514,$B4, 'Raw Data'!$K$5:$K$514))/SUM(COUNTIF('Raw Data'!$D$5:$D$514,$B4))</f>
        <v>0.58985665701463053</v>
      </c>
      <c r="G4" s="70">
        <f>SUM(SUMIF('Raw Data'!$D$5:$D$514,$B4, 'Raw Data'!$M$5:$M$514))/SUM(COUNTIF('Raw Data'!$D$5:$D$514,$B4))</f>
        <v>0.15070161373888569</v>
      </c>
      <c r="H4" s="61">
        <f>SUM(SUMIF('Raw Data'!$D$5:$D$514,$B4, 'Raw Data'!$N$5:$N$514))/SUM(COUNTIF('Raw Data'!$D$5:$D$514,$B4))</f>
        <v>2502.0733333333333</v>
      </c>
      <c r="I4" s="61">
        <f>SUM(SUMIF('Raw Data'!$D$5:$D$514,$B4, 'Raw Data'!$O$5:$O$514))</f>
        <v>0</v>
      </c>
      <c r="J4" s="61">
        <f>SUM(SUMIF('Raw Data'!$D$5:$D$514,$B4, 'Raw Data'!$O$5:$O$514))/SUM(COUNTIF('Raw Data'!$D$5:$D$514,$B4))</f>
        <v>0</v>
      </c>
    </row>
    <row r="5" spans="1:23" x14ac:dyDescent="0.25">
      <c r="A5" s="69"/>
      <c r="B5" s="53" t="s">
        <v>34</v>
      </c>
      <c r="C5" s="63">
        <f>SUM(SUMIF('Raw Data'!$D$5:$D$514,$B5, 'Raw Data'!$I$5:$KI$514))</f>
        <v>1109959.4200000004</v>
      </c>
      <c r="D5" s="91">
        <f>SUM(COUNTIF('Raw Data'!$D$5:$D$514,$B5))</f>
        <v>72</v>
      </c>
      <c r="E5" s="63">
        <f>SUM(SUMIF('Raw Data'!$D$5:$D$514,$B5, 'Raw Data'!$I$5:$I$514))/SUM(COUNTIF('Raw Data'!$D$5:$D$514,$B5))</f>
        <v>15416.103055555561</v>
      </c>
      <c r="F5" s="72">
        <f>SUM(SUMIF('Raw Data'!$D$5:$D$514,$B5, 'Raw Data'!$K$5:$K$514))/SUM(COUNTIF('Raw Data'!$D$5:$D$514,$B5))</f>
        <v>0.49113081570792733</v>
      </c>
      <c r="G5" s="72">
        <f>SUM(SUMIF('Raw Data'!$D$5:$D$514,$B5, 'Raw Data'!$M$5:$M$514))/SUM(COUNTIF('Raw Data'!$D$5:$D$514,$B5))</f>
        <v>8.3430327018972961E-2</v>
      </c>
      <c r="H5" s="63">
        <f>SUM(SUMIF('Raw Data'!$D$5:$D$514,$B5, 'Raw Data'!$N$5:$N$514))/SUM(COUNTIF('Raw Data'!$D$5:$D$514,$B5))</f>
        <v>9.2645833333333236</v>
      </c>
      <c r="I5" s="63">
        <f>SUM(SUMIF('Raw Data'!$D$5:$D$514,$B5, 'Raw Data'!$O$5:$O$514))</f>
        <v>6146.4800000000005</v>
      </c>
      <c r="J5" s="63">
        <f>SUM(SUMIF('Raw Data'!$D$5:$D$514,$B5, 'Raw Data'!$O$5:$O$514))/SUM(COUNTIF('Raw Data'!$D$5:$D$514,$B5))</f>
        <v>85.367777777777789</v>
      </c>
    </row>
    <row r="6" spans="1:23" x14ac:dyDescent="0.25">
      <c r="A6" s="69"/>
      <c r="B6" s="53" t="s">
        <v>43</v>
      </c>
      <c r="C6" s="63">
        <f>SUM(SUMIF('Raw Data'!$D$5:$D$514,$B6, 'Raw Data'!$I$5:$KI$514))</f>
        <v>701801.31</v>
      </c>
      <c r="D6" s="91">
        <f>SUM(COUNTIF('Raw Data'!$D$5:$D$514,$B6))</f>
        <v>47</v>
      </c>
      <c r="E6" s="63">
        <f>SUM(SUMIF('Raw Data'!$D$5:$D$514,$B6, 'Raw Data'!$I$5:$I$514))/SUM(COUNTIF('Raw Data'!$D$5:$D$514,$B6))</f>
        <v>14931.942765957449</v>
      </c>
      <c r="F6" s="72">
        <f>SUM(SUMIF('Raw Data'!$D$5:$D$514,$B6, 'Raw Data'!$K$5:$K$514))/SUM(COUNTIF('Raw Data'!$D$5:$D$514,$B6))</f>
        <v>0.52485977621089708</v>
      </c>
      <c r="G6" s="72">
        <f>SUM(SUMIF('Raw Data'!$D$5:$D$514,$B6, 'Raw Data'!$M$5:$M$514))/SUM(COUNTIF('Raw Data'!$D$5:$D$514,$B6))</f>
        <v>0.10961316637500627</v>
      </c>
      <c r="H6" s="63">
        <f>SUM(SUMIF('Raw Data'!$D$5:$D$514,$B6, 'Raw Data'!$N$5:$N$514))/SUM(COUNTIF('Raw Data'!$D$5:$D$514,$B6))</f>
        <v>393.17531914893618</v>
      </c>
      <c r="I6" s="63">
        <f>SUM(SUMIF('Raw Data'!$D$5:$D$514,$B6, 'Raw Data'!$O$5:$O$514))</f>
        <v>4803.79</v>
      </c>
      <c r="J6" s="63">
        <f>SUM(SUMIF('Raw Data'!$D$5:$D$514,$B6, 'Raw Data'!$O$5:$O$514))/SUM(COUNTIF('Raw Data'!$D$5:$D$514,$B6))</f>
        <v>102.20829787234042</v>
      </c>
    </row>
    <row r="7" spans="1:23" x14ac:dyDescent="0.25">
      <c r="A7" s="69"/>
      <c r="B7" s="52" t="s">
        <v>167</v>
      </c>
      <c r="C7" s="63">
        <f>SUM(SUMIF('Raw Data'!$D$5:$D$514,$B7, 'Raw Data'!$I$5:$KI$514))</f>
        <v>65214.44</v>
      </c>
      <c r="D7" s="91">
        <f>SUM(COUNTIF('Raw Data'!$D$5:$D$514,$B7))</f>
        <v>4</v>
      </c>
      <c r="E7" s="63">
        <f>SUM(SUMIF('Raw Data'!$D$5:$D$514,$B7, 'Raw Data'!$I$5:$I$514))/SUM(COUNTIF('Raw Data'!$D$5:$D$514,$B7))</f>
        <v>16303.61</v>
      </c>
      <c r="F7" s="72">
        <f>SUM(SUMIF('Raw Data'!$D$5:$D$514,$B7, 'Raw Data'!$K$5:$K$514))/SUM(COUNTIF('Raw Data'!$D$5:$D$514,$B7))</f>
        <v>0.57222320231820967</v>
      </c>
      <c r="G7" s="72">
        <f>SUM(SUMIF('Raw Data'!$D$5:$D$514,$B7, 'Raw Data'!$M$5:$M$514))/SUM(COUNTIF('Raw Data'!$D$5:$D$514,$B7))</f>
        <v>0.12930575844427641</v>
      </c>
      <c r="H7" s="63">
        <f>SUM(SUMIF('Raw Data'!$D$5:$D$514,$B7, 'Raw Data'!$N$5:$N$514))/SUM(COUNTIF('Raw Data'!$D$5:$D$514,$B7))</f>
        <v>827.39750000000004</v>
      </c>
      <c r="I7" s="63">
        <f>SUM(SUMIF('Raw Data'!$D$5:$D$514,$B7, 'Raw Data'!$O$5:$O$514))</f>
        <v>300</v>
      </c>
      <c r="J7" s="63">
        <f>SUM(SUMIF('Raw Data'!$D$5:$D$514,$B7, 'Raw Data'!$O$5:$O$514))/SUM(COUNTIF('Raw Data'!$D$5:$D$514,$B7))</f>
        <v>75</v>
      </c>
    </row>
    <row r="8" spans="1:23" x14ac:dyDescent="0.25">
      <c r="A8" s="69"/>
      <c r="B8" s="53" t="s">
        <v>154</v>
      </c>
      <c r="C8" s="63">
        <f>SUM(SUMIF('Raw Data'!$D$5:$D$514,$B8, 'Raw Data'!$I$5:$KI$514))</f>
        <v>9432</v>
      </c>
      <c r="D8" s="91">
        <f>SUM(COUNTIF('Raw Data'!$D$5:$D$514,$B8))</f>
        <v>1</v>
      </c>
      <c r="E8" s="63">
        <f>SUM(SUMIF('Raw Data'!$D$5:$D$514,$B8, 'Raw Data'!$I$5:$I$514))/SUM(COUNTIF('Raw Data'!$D$5:$D$514,$B8))</f>
        <v>9432</v>
      </c>
      <c r="F8" s="72">
        <f>SUM(SUMIF('Raw Data'!$D$5:$D$514,$B8, 'Raw Data'!$K$5:$K$514))/SUM(COUNTIF('Raw Data'!$D$5:$D$514,$B8))</f>
        <v>0.31725296861747243</v>
      </c>
      <c r="G8" s="72">
        <f>SUM(SUMIF('Raw Data'!$D$5:$D$514,$B8, 'Raw Data'!$M$5:$M$514))/SUM(COUNTIF('Raw Data'!$D$5:$D$514,$B8))</f>
        <v>8.6292408821034769E-2</v>
      </c>
      <c r="H8" s="63">
        <f>SUM(SUMIF('Raw Data'!$D$5:$D$514,$B8, 'Raw Data'!$N$5:$N$514))/SUM(COUNTIF('Raw Data'!$D$5:$D$514,$B8))</f>
        <v>-455.95</v>
      </c>
      <c r="I8" s="63">
        <f>SUM(SUMIF('Raw Data'!$D$5:$D$514,$B8, 'Raw Data'!$O$5:$O$514))</f>
        <v>150</v>
      </c>
      <c r="J8" s="63">
        <f>SUM(SUMIF('Raw Data'!$D$5:$D$514,$B8, 'Raw Data'!$O$5:$O$514))/SUM(COUNTIF('Raw Data'!$D$5:$D$514,$B8))</f>
        <v>150</v>
      </c>
      <c r="Q8" s="6"/>
    </row>
    <row r="9" spans="1:23" x14ac:dyDescent="0.25">
      <c r="A9" s="69"/>
      <c r="B9" s="52" t="s">
        <v>99</v>
      </c>
      <c r="C9" s="63">
        <f>SUM(SUMIF('Raw Data'!$D$5:$D$514,$B9, 'Raw Data'!$I$5:$KI$514))</f>
        <v>1378142.2799999998</v>
      </c>
      <c r="D9" s="91">
        <f>SUM(COUNTIF('Raw Data'!$D$5:$D$514,$B9))</f>
        <v>53</v>
      </c>
      <c r="E9" s="63">
        <f>SUM(SUMIF('Raw Data'!$D$5:$D$514,$B9, 'Raw Data'!$I$5:$I$514))/SUM(COUNTIF('Raw Data'!$D$5:$D$514,$B9))</f>
        <v>26002.684528301885</v>
      </c>
      <c r="F9" s="72">
        <f>SUM(SUMIF('Raw Data'!$D$5:$D$514,$B9, 'Raw Data'!$K$5:$K$514))/SUM(COUNTIF('Raw Data'!$D$5:$D$514,$B9))</f>
        <v>0.52405859000600108</v>
      </c>
      <c r="G9" s="72">
        <f>SUM(SUMIF('Raw Data'!$D$5:$D$514,$B9, 'Raw Data'!$M$5:$M$514))/SUM(COUNTIF('Raw Data'!$D$5:$D$514,$B9))</f>
        <v>0.11713567504165788</v>
      </c>
      <c r="H9" s="63">
        <f>SUM(SUMIF('Raw Data'!$D$5:$D$514,$B9, 'Raw Data'!$N$5:$N$514))/SUM(COUNTIF('Raw Data'!$D$5:$D$514,$B9))</f>
        <v>1537.6218867924529</v>
      </c>
      <c r="I9" s="63">
        <f>SUM(SUMIF('Raw Data'!$D$5:$D$514,$B9, 'Raw Data'!$O$5:$O$514))</f>
        <v>4539.68</v>
      </c>
      <c r="J9" s="63">
        <f>SUM(SUMIF('Raw Data'!$D$5:$D$514,$B9, 'Raw Data'!$O$5:$O$514))/SUM(COUNTIF('Raw Data'!$D$5:$D$514,$B9))</f>
        <v>85.654339622641515</v>
      </c>
    </row>
    <row r="10" spans="1:23" ht="15.75" thickBot="1" x14ac:dyDescent="0.3">
      <c r="A10" s="69"/>
      <c r="B10" s="53" t="s">
        <v>26</v>
      </c>
      <c r="C10" s="64">
        <f>SUM(SUMIF('Raw Data'!$D$5:$D$514,$B10, 'Raw Data'!$I$5:$KI$514))</f>
        <v>1024966.5299999999</v>
      </c>
      <c r="D10" s="75">
        <f>SUM(COUNTIF('Raw Data'!$D$5:$D$514,$B10))</f>
        <v>56</v>
      </c>
      <c r="E10" s="64">
        <f>SUM(SUMIF('Raw Data'!$D$5:$D$514,$B10, 'Raw Data'!$I$5:$I$514))/SUM(COUNTIF('Raw Data'!$D$5:$D$514,$B10))</f>
        <v>18302.973749999997</v>
      </c>
      <c r="F10" s="71">
        <f>SUM(SUMIF('Raw Data'!$D$5:$D$514,$B10, 'Raw Data'!$K$5:$K$514))/SUM(COUNTIF('Raw Data'!$D$5:$D$514,$B10))</f>
        <v>0.55466212367223411</v>
      </c>
      <c r="G10" s="71">
        <f>SUM(SUMIF('Raw Data'!$D$5:$D$514,$B10, 'Raw Data'!$M$5:$M$514))/SUM(COUNTIF('Raw Data'!$D$5:$D$514,$B10))</f>
        <v>0.10273761273090057</v>
      </c>
      <c r="H10" s="64">
        <f>SUM(SUMIF('Raw Data'!$D$5:$D$514,$B10, 'Raw Data'!$N$5:$N$514))/SUM(COUNTIF('Raw Data'!$D$5:$D$514,$B10))</f>
        <v>533.36607142857133</v>
      </c>
      <c r="I10" s="64">
        <f>SUM(SUMIF('Raw Data'!$D$5:$D$514,$B10, 'Raw Data'!$O$5:$O$514))</f>
        <v>6161.52</v>
      </c>
      <c r="J10" s="64">
        <f>SUM(SUMIF('Raw Data'!$D$5:$D$514,$B10, 'Raw Data'!$O$5:$O$514))/SUM(COUNTIF('Raw Data'!$D$5:$D$514,$B10))</f>
        <v>110.02714285714286</v>
      </c>
    </row>
    <row r="11" spans="1:23" ht="15.75" customHeight="1" x14ac:dyDescent="0.25">
      <c r="B11" s="128"/>
      <c r="C11" s="161">
        <f>SUM(C4:C10)</f>
        <v>4347642</v>
      </c>
      <c r="D11" s="156">
        <f>SUM(D4:D10)</f>
        <v>236</v>
      </c>
      <c r="E11" s="161">
        <f>AVERAGE(E4:E10)</f>
        <v>17109.236299973556</v>
      </c>
      <c r="F11" s="158">
        <f>'Raw Data'!K3</f>
        <v>0.52282043921739596</v>
      </c>
      <c r="G11" s="158">
        <f>AVERAGE(G4:G10)</f>
        <v>0.11131665173867636</v>
      </c>
      <c r="H11" s="161">
        <f>AVERAGE(H4:H10)</f>
        <v>763.84981343380389</v>
      </c>
      <c r="I11" s="161">
        <f>SUM(I4:I10)</f>
        <v>22101.47</v>
      </c>
      <c r="J11" s="161">
        <f>AVERAGE(J4:J10)</f>
        <v>86.893936875700362</v>
      </c>
    </row>
    <row r="12" spans="1:23" ht="15.75" customHeight="1" thickBot="1" x14ac:dyDescent="0.3">
      <c r="B12" s="129"/>
      <c r="C12" s="162"/>
      <c r="D12" s="157"/>
      <c r="E12" s="162"/>
      <c r="F12" s="159"/>
      <c r="G12" s="159"/>
      <c r="H12" s="162"/>
      <c r="I12" s="162"/>
      <c r="J12" s="162"/>
    </row>
    <row r="13" spans="1:23" ht="15.75" thickBot="1" x14ac:dyDescent="0.3">
      <c r="B13" s="65"/>
      <c r="C13" s="66"/>
      <c r="D13" s="66"/>
      <c r="E13" s="66"/>
      <c r="F13" s="66"/>
      <c r="G13" s="66"/>
      <c r="H13" s="66"/>
      <c r="I13" s="66"/>
      <c r="J13" s="66"/>
    </row>
    <row r="14" spans="1:23" x14ac:dyDescent="0.25">
      <c r="B14" s="77"/>
      <c r="C14" s="78"/>
      <c r="D14" s="78"/>
      <c r="E14" s="78"/>
      <c r="F14" s="78"/>
      <c r="G14" s="78"/>
      <c r="H14" s="78"/>
      <c r="I14" s="78"/>
      <c r="J14" s="78"/>
      <c r="K14" s="79"/>
      <c r="L14" s="79"/>
      <c r="M14" s="79"/>
      <c r="N14" s="79"/>
      <c r="O14" s="79"/>
      <c r="P14" s="79"/>
      <c r="Q14" s="79"/>
      <c r="R14" s="79"/>
      <c r="S14" s="79"/>
      <c r="T14" s="79"/>
      <c r="U14" s="79"/>
      <c r="V14" s="79"/>
      <c r="W14" s="80"/>
    </row>
    <row r="15" spans="1:23" x14ac:dyDescent="0.25">
      <c r="B15" s="81"/>
      <c r="C15" s="67"/>
      <c r="D15" s="67"/>
      <c r="E15" s="67"/>
      <c r="F15" s="67"/>
      <c r="G15" s="67"/>
      <c r="H15" s="67"/>
      <c r="I15" s="67"/>
      <c r="J15" s="67"/>
      <c r="K15" s="82"/>
      <c r="L15" s="82"/>
      <c r="M15" s="82"/>
      <c r="N15" s="82"/>
      <c r="O15" s="82"/>
      <c r="P15" s="82"/>
      <c r="Q15" s="82"/>
      <c r="R15" s="82"/>
      <c r="S15" s="82"/>
      <c r="T15" s="82"/>
      <c r="U15" s="82"/>
      <c r="V15" s="82"/>
      <c r="W15" s="83"/>
    </row>
    <row r="16" spans="1:23" x14ac:dyDescent="0.25">
      <c r="B16" s="81"/>
      <c r="C16" s="67"/>
      <c r="D16" s="67"/>
      <c r="E16" s="67"/>
      <c r="F16" s="67"/>
      <c r="G16" s="67"/>
      <c r="H16" s="67"/>
      <c r="I16" s="67"/>
      <c r="J16" s="67"/>
      <c r="K16" s="82"/>
      <c r="L16" s="82"/>
      <c r="M16" s="82"/>
      <c r="N16" s="82"/>
      <c r="O16" s="82"/>
      <c r="P16" s="82"/>
      <c r="Q16" s="82"/>
      <c r="R16" s="82"/>
      <c r="S16" s="82"/>
      <c r="T16" s="82"/>
      <c r="U16" s="82"/>
      <c r="V16" s="82"/>
      <c r="W16" s="83"/>
    </row>
    <row r="17" spans="2:23" x14ac:dyDescent="0.25">
      <c r="B17" s="81"/>
      <c r="C17" s="67"/>
      <c r="D17" s="67"/>
      <c r="E17" s="67"/>
      <c r="F17" s="67"/>
      <c r="G17" s="67"/>
      <c r="H17" s="67"/>
      <c r="I17" s="67"/>
      <c r="J17" s="67"/>
      <c r="K17" s="82"/>
      <c r="L17" s="82"/>
      <c r="M17" s="82"/>
      <c r="N17" s="82"/>
      <c r="O17" s="82"/>
      <c r="P17" s="82"/>
      <c r="Q17" s="82"/>
      <c r="R17" s="82"/>
      <c r="S17" s="82"/>
      <c r="T17" s="82"/>
      <c r="U17" s="82"/>
      <c r="V17" s="82"/>
      <c r="W17" s="83"/>
    </row>
    <row r="18" spans="2:23" x14ac:dyDescent="0.25">
      <c r="B18" s="81"/>
      <c r="C18" s="67"/>
      <c r="D18" s="67"/>
      <c r="E18" s="67"/>
      <c r="F18" s="67"/>
      <c r="G18" s="67"/>
      <c r="H18" s="67"/>
      <c r="I18" s="67"/>
      <c r="J18" s="67"/>
      <c r="K18" s="82"/>
      <c r="L18" s="82"/>
      <c r="M18" s="82"/>
      <c r="N18" s="82"/>
      <c r="O18" s="82"/>
      <c r="P18" s="82"/>
      <c r="Q18" s="82"/>
      <c r="R18" s="82"/>
      <c r="S18" s="82"/>
      <c r="T18" s="82"/>
      <c r="U18" s="82"/>
      <c r="V18" s="82"/>
      <c r="W18" s="83"/>
    </row>
    <row r="19" spans="2:23" x14ac:dyDescent="0.25">
      <c r="B19" s="81"/>
      <c r="C19" s="67"/>
      <c r="D19" s="67"/>
      <c r="E19" s="67"/>
      <c r="F19" s="67"/>
      <c r="G19" s="67"/>
      <c r="H19" s="67"/>
      <c r="I19" s="67"/>
      <c r="J19" s="67"/>
      <c r="K19" s="82"/>
      <c r="L19" s="82"/>
      <c r="M19" s="82"/>
      <c r="N19" s="82"/>
      <c r="O19" s="82"/>
      <c r="P19" s="82"/>
      <c r="Q19" s="82"/>
      <c r="R19" s="82"/>
      <c r="S19" s="82"/>
      <c r="T19" s="82"/>
      <c r="U19" s="82"/>
      <c r="V19" s="82"/>
      <c r="W19" s="83"/>
    </row>
    <row r="20" spans="2:23" x14ac:dyDescent="0.25">
      <c r="B20" s="81"/>
      <c r="C20" s="67"/>
      <c r="D20" s="67"/>
      <c r="E20" s="67"/>
      <c r="F20" s="67"/>
      <c r="G20" s="67"/>
      <c r="H20" s="67"/>
      <c r="I20" s="67"/>
      <c r="J20" s="67"/>
      <c r="K20" s="82"/>
      <c r="L20" s="82"/>
      <c r="M20" s="82"/>
      <c r="N20" s="82"/>
      <c r="O20" s="82"/>
      <c r="P20" s="82"/>
      <c r="Q20" s="82"/>
      <c r="R20" s="82"/>
      <c r="S20" s="82"/>
      <c r="T20" s="82"/>
      <c r="U20" s="82"/>
      <c r="V20" s="82"/>
      <c r="W20" s="83"/>
    </row>
    <row r="21" spans="2:23" x14ac:dyDescent="0.25">
      <c r="B21" s="81"/>
      <c r="C21" s="67"/>
      <c r="D21" s="67"/>
      <c r="E21" s="67"/>
      <c r="F21" s="67"/>
      <c r="G21" s="67"/>
      <c r="H21" s="67"/>
      <c r="I21" s="67"/>
      <c r="J21" s="67"/>
      <c r="K21" s="82"/>
      <c r="L21" s="82"/>
      <c r="M21" s="82"/>
      <c r="N21" s="82"/>
      <c r="O21" s="82"/>
      <c r="P21" s="82"/>
      <c r="Q21" s="82"/>
      <c r="R21" s="82"/>
      <c r="S21" s="82"/>
      <c r="T21" s="82"/>
      <c r="U21" s="82"/>
      <c r="V21" s="82"/>
      <c r="W21" s="83"/>
    </row>
    <row r="22" spans="2:23" x14ac:dyDescent="0.25">
      <c r="B22" s="81"/>
      <c r="C22" s="67"/>
      <c r="D22" s="67"/>
      <c r="E22" s="67"/>
      <c r="F22" s="67"/>
      <c r="G22" s="67"/>
      <c r="H22" s="67"/>
      <c r="I22" s="67"/>
      <c r="J22" s="67"/>
      <c r="K22" s="82"/>
      <c r="L22" s="82"/>
      <c r="M22" s="82"/>
      <c r="N22" s="82"/>
      <c r="O22" s="82"/>
      <c r="P22" s="82"/>
      <c r="Q22" s="82"/>
      <c r="R22" s="82"/>
      <c r="S22" s="82"/>
      <c r="T22" s="82"/>
      <c r="U22" s="82"/>
      <c r="V22" s="82"/>
      <c r="W22" s="83"/>
    </row>
    <row r="23" spans="2:23" x14ac:dyDescent="0.25">
      <c r="B23" s="81"/>
      <c r="C23" s="67"/>
      <c r="D23" s="67"/>
      <c r="E23" s="67"/>
      <c r="F23" s="67"/>
      <c r="G23" s="67"/>
      <c r="H23" s="67"/>
      <c r="I23" s="67"/>
      <c r="J23" s="67"/>
      <c r="K23" s="82"/>
      <c r="L23" s="82"/>
      <c r="M23" s="82"/>
      <c r="N23" s="82"/>
      <c r="O23" s="82"/>
      <c r="P23" s="82"/>
      <c r="Q23" s="82"/>
      <c r="R23" s="82"/>
      <c r="S23" s="82"/>
      <c r="T23" s="82"/>
      <c r="U23" s="82"/>
      <c r="V23" s="82"/>
      <c r="W23" s="83"/>
    </row>
    <row r="24" spans="2:23" x14ac:dyDescent="0.25">
      <c r="B24" s="81"/>
      <c r="C24" s="67"/>
      <c r="D24" s="67"/>
      <c r="E24" s="67"/>
      <c r="F24" s="67"/>
      <c r="G24" s="67"/>
      <c r="H24" s="67"/>
      <c r="I24" s="67"/>
      <c r="J24" s="67"/>
      <c r="K24" s="82"/>
      <c r="L24" s="82"/>
      <c r="M24" s="82"/>
      <c r="N24" s="82"/>
      <c r="O24" s="82"/>
      <c r="P24" s="82"/>
      <c r="Q24" s="82"/>
      <c r="R24" s="82"/>
      <c r="S24" s="82"/>
      <c r="T24" s="82"/>
      <c r="U24" s="82"/>
      <c r="V24" s="82"/>
      <c r="W24" s="83"/>
    </row>
    <row r="25" spans="2:23" x14ac:dyDescent="0.25">
      <c r="B25" s="81"/>
      <c r="C25" s="67"/>
      <c r="D25" s="67"/>
      <c r="E25" s="67"/>
      <c r="F25" s="67"/>
      <c r="G25" s="67"/>
      <c r="H25" s="67"/>
      <c r="I25" s="67"/>
      <c r="J25" s="67"/>
      <c r="K25" s="82"/>
      <c r="L25" s="82"/>
      <c r="M25" s="82"/>
      <c r="N25" s="82"/>
      <c r="O25" s="82"/>
      <c r="P25" s="82"/>
      <c r="Q25" s="82"/>
      <c r="R25" s="82"/>
      <c r="S25" s="82"/>
      <c r="T25" s="82"/>
      <c r="U25" s="82"/>
      <c r="V25" s="82"/>
      <c r="W25" s="83"/>
    </row>
    <row r="26" spans="2:23" x14ac:dyDescent="0.25">
      <c r="B26" s="81"/>
      <c r="C26" s="67"/>
      <c r="D26" s="67"/>
      <c r="E26" s="67"/>
      <c r="F26" s="67"/>
      <c r="G26" s="67"/>
      <c r="H26" s="67"/>
      <c r="I26" s="67"/>
      <c r="J26" s="67"/>
      <c r="K26" s="82"/>
      <c r="L26" s="82"/>
      <c r="M26" s="82"/>
      <c r="N26" s="82"/>
      <c r="O26" s="82"/>
      <c r="P26" s="82"/>
      <c r="Q26" s="82"/>
      <c r="R26" s="82"/>
      <c r="S26" s="82"/>
      <c r="T26" s="82"/>
      <c r="U26" s="82"/>
      <c r="V26" s="82"/>
      <c r="W26" s="83"/>
    </row>
    <row r="27" spans="2:23" x14ac:dyDescent="0.25">
      <c r="B27" s="81"/>
      <c r="C27" s="67"/>
      <c r="D27" s="67"/>
      <c r="E27" s="67"/>
      <c r="F27" s="67"/>
      <c r="G27" s="67"/>
      <c r="H27" s="67"/>
      <c r="I27" s="67"/>
      <c r="J27" s="67"/>
      <c r="K27" s="82"/>
      <c r="L27" s="82"/>
      <c r="M27" s="82"/>
      <c r="N27" s="82"/>
      <c r="O27" s="82"/>
      <c r="P27" s="82"/>
      <c r="Q27" s="82"/>
      <c r="R27" s="82"/>
      <c r="S27" s="82"/>
      <c r="T27" s="82"/>
      <c r="U27" s="82"/>
      <c r="V27" s="82"/>
      <c r="W27" s="83"/>
    </row>
    <row r="28" spans="2:23" x14ac:dyDescent="0.25">
      <c r="B28" s="81"/>
      <c r="C28" s="67"/>
      <c r="D28" s="67"/>
      <c r="E28" s="67"/>
      <c r="F28" s="67"/>
      <c r="G28" s="67"/>
      <c r="H28" s="67"/>
      <c r="I28" s="67"/>
      <c r="J28" s="67"/>
      <c r="K28" s="82"/>
      <c r="L28" s="82"/>
      <c r="M28" s="82"/>
      <c r="N28" s="82"/>
      <c r="O28" s="82"/>
      <c r="P28" s="82"/>
      <c r="Q28" s="82"/>
      <c r="R28" s="82"/>
      <c r="S28" s="82"/>
      <c r="T28" s="82"/>
      <c r="U28" s="82"/>
      <c r="V28" s="82"/>
      <c r="W28" s="83"/>
    </row>
    <row r="29" spans="2:23" x14ac:dyDescent="0.25">
      <c r="B29" s="81"/>
      <c r="C29" s="67"/>
      <c r="D29" s="67"/>
      <c r="E29" s="67"/>
      <c r="F29" s="67"/>
      <c r="G29" s="67"/>
      <c r="H29" s="67"/>
      <c r="I29" s="67"/>
      <c r="J29" s="67"/>
      <c r="K29" s="82"/>
      <c r="L29" s="82"/>
      <c r="M29" s="82"/>
      <c r="N29" s="82"/>
      <c r="O29" s="82"/>
      <c r="P29" s="82"/>
      <c r="Q29" s="82"/>
      <c r="R29" s="82"/>
      <c r="S29" s="82"/>
      <c r="T29" s="82"/>
      <c r="U29" s="82"/>
      <c r="V29" s="82"/>
      <c r="W29" s="83"/>
    </row>
    <row r="30" spans="2:23" x14ac:dyDescent="0.25">
      <c r="B30" s="81"/>
      <c r="C30" s="67"/>
      <c r="D30" s="67"/>
      <c r="E30" s="67"/>
      <c r="F30" s="67"/>
      <c r="G30" s="67"/>
      <c r="H30" s="67"/>
      <c r="I30" s="67"/>
      <c r="J30" s="67"/>
      <c r="K30" s="82"/>
      <c r="L30" s="82"/>
      <c r="M30" s="82"/>
      <c r="N30" s="82"/>
      <c r="O30" s="82"/>
      <c r="P30" s="82"/>
      <c r="Q30" s="82"/>
      <c r="R30" s="82"/>
      <c r="S30" s="82"/>
      <c r="T30" s="82"/>
      <c r="U30" s="82"/>
      <c r="V30" s="82"/>
      <c r="W30" s="83"/>
    </row>
    <row r="31" spans="2:23" x14ac:dyDescent="0.25">
      <c r="B31" s="81"/>
      <c r="C31" s="67"/>
      <c r="D31" s="67"/>
      <c r="E31" s="67"/>
      <c r="F31" s="67"/>
      <c r="G31" s="67"/>
      <c r="H31" s="67"/>
      <c r="I31" s="67"/>
      <c r="J31" s="67"/>
      <c r="K31" s="82"/>
      <c r="L31" s="82"/>
      <c r="M31" s="82"/>
      <c r="N31" s="82"/>
      <c r="O31" s="82"/>
      <c r="P31" s="82"/>
      <c r="Q31" s="82"/>
      <c r="R31" s="82"/>
      <c r="S31" s="82"/>
      <c r="T31" s="82"/>
      <c r="U31" s="82"/>
      <c r="V31" s="82"/>
      <c r="W31" s="83"/>
    </row>
    <row r="32" spans="2:23" x14ac:dyDescent="0.25">
      <c r="B32" s="81"/>
      <c r="C32" s="67"/>
      <c r="D32" s="67"/>
      <c r="E32" s="67"/>
      <c r="F32" s="67"/>
      <c r="G32" s="67"/>
      <c r="H32" s="67"/>
      <c r="I32" s="67"/>
      <c r="J32" s="67"/>
      <c r="K32" s="82"/>
      <c r="L32" s="82"/>
      <c r="M32" s="82"/>
      <c r="N32" s="82"/>
      <c r="O32" s="82"/>
      <c r="P32" s="82"/>
      <c r="Q32" s="82"/>
      <c r="R32" s="82"/>
      <c r="S32" s="82"/>
      <c r="T32" s="82"/>
      <c r="U32" s="82"/>
      <c r="V32" s="82"/>
      <c r="W32" s="83"/>
    </row>
    <row r="33" spans="2:23" x14ac:dyDescent="0.25">
      <c r="B33" s="84"/>
      <c r="C33" s="66"/>
      <c r="D33" s="66"/>
      <c r="E33" s="66"/>
      <c r="F33" s="66"/>
      <c r="G33" s="66"/>
      <c r="H33" s="66"/>
      <c r="I33" s="66"/>
      <c r="J33" s="66"/>
      <c r="K33" s="82"/>
      <c r="L33" s="82"/>
      <c r="M33" s="82"/>
      <c r="N33" s="82"/>
      <c r="O33" s="82"/>
      <c r="P33" s="82"/>
      <c r="Q33" s="82"/>
      <c r="R33" s="82"/>
      <c r="S33" s="82"/>
      <c r="T33" s="82"/>
      <c r="U33" s="82"/>
      <c r="V33" s="82"/>
      <c r="W33" s="83"/>
    </row>
    <row r="34" spans="2:23" x14ac:dyDescent="0.25">
      <c r="B34" s="84"/>
      <c r="C34" s="66"/>
      <c r="D34" s="66"/>
      <c r="E34" s="66"/>
      <c r="F34" s="66"/>
      <c r="G34" s="66"/>
      <c r="H34" s="66"/>
      <c r="I34" s="66"/>
      <c r="J34" s="66"/>
      <c r="K34" s="82"/>
      <c r="L34" s="82"/>
      <c r="M34" s="82"/>
      <c r="N34" s="82"/>
      <c r="O34" s="82"/>
      <c r="P34" s="82"/>
      <c r="Q34" s="82"/>
      <c r="R34" s="82"/>
      <c r="S34" s="82"/>
      <c r="T34" s="82"/>
      <c r="U34" s="82"/>
      <c r="V34" s="82"/>
      <c r="W34" s="83"/>
    </row>
    <row r="35" spans="2:23" x14ac:dyDescent="0.25">
      <c r="B35" s="84"/>
      <c r="C35" s="66"/>
      <c r="D35" s="66"/>
      <c r="E35" s="66"/>
      <c r="F35" s="66"/>
      <c r="G35" s="66"/>
      <c r="H35" s="66"/>
      <c r="I35" s="66"/>
      <c r="J35" s="66"/>
      <c r="K35" s="82"/>
      <c r="L35" s="82"/>
      <c r="M35" s="82"/>
      <c r="N35" s="82"/>
      <c r="O35" s="82"/>
      <c r="P35" s="82"/>
      <c r="Q35" s="82"/>
      <c r="R35" s="82"/>
      <c r="S35" s="82"/>
      <c r="T35" s="82"/>
      <c r="U35" s="82"/>
      <c r="V35" s="82"/>
      <c r="W35" s="83"/>
    </row>
    <row r="36" spans="2:23" x14ac:dyDescent="0.25">
      <c r="B36" s="84"/>
      <c r="C36" s="66"/>
      <c r="D36" s="66"/>
      <c r="E36" s="66"/>
      <c r="F36" s="66"/>
      <c r="G36" s="66"/>
      <c r="H36" s="66"/>
      <c r="I36" s="66"/>
      <c r="J36" s="66"/>
      <c r="K36" s="82"/>
      <c r="L36" s="82"/>
      <c r="M36" s="82"/>
      <c r="N36" s="82"/>
      <c r="O36" s="82"/>
      <c r="P36" s="82"/>
      <c r="Q36" s="82"/>
      <c r="R36" s="82"/>
      <c r="S36" s="82"/>
      <c r="T36" s="82"/>
      <c r="U36" s="82"/>
      <c r="V36" s="82"/>
      <c r="W36" s="83"/>
    </row>
    <row r="37" spans="2:23" x14ac:dyDescent="0.25">
      <c r="B37" s="84"/>
      <c r="C37" s="66"/>
      <c r="D37" s="66"/>
      <c r="E37" s="66"/>
      <c r="F37" s="66"/>
      <c r="G37" s="66"/>
      <c r="H37" s="66"/>
      <c r="I37" s="66"/>
      <c r="J37" s="66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83"/>
    </row>
    <row r="38" spans="2:23" x14ac:dyDescent="0.25">
      <c r="B38" s="84"/>
      <c r="C38" s="66"/>
      <c r="D38" s="66"/>
      <c r="E38" s="66"/>
      <c r="F38" s="66"/>
      <c r="G38" s="66"/>
      <c r="H38" s="66"/>
      <c r="I38" s="66"/>
      <c r="J38" s="66"/>
      <c r="K38" s="82"/>
      <c r="L38" s="82"/>
      <c r="M38" s="82"/>
      <c r="N38" s="82"/>
      <c r="O38" s="82"/>
      <c r="P38" s="82"/>
      <c r="Q38" s="82"/>
      <c r="R38" s="82"/>
      <c r="S38" s="82"/>
      <c r="T38" s="82"/>
      <c r="U38" s="82"/>
      <c r="V38" s="82"/>
      <c r="W38" s="83"/>
    </row>
    <row r="39" spans="2:23" x14ac:dyDescent="0.25">
      <c r="B39" s="84"/>
      <c r="C39" s="66"/>
      <c r="D39" s="66"/>
      <c r="E39" s="66"/>
      <c r="F39" s="66"/>
      <c r="G39" s="66"/>
      <c r="H39" s="66"/>
      <c r="I39" s="66"/>
      <c r="J39" s="66"/>
      <c r="K39" s="82"/>
      <c r="L39" s="82"/>
      <c r="M39" s="82"/>
      <c r="N39" s="82"/>
      <c r="O39" s="82"/>
      <c r="P39" s="82"/>
      <c r="Q39" s="82"/>
      <c r="R39" s="82"/>
      <c r="S39" s="82"/>
      <c r="T39" s="82"/>
      <c r="U39" s="82"/>
      <c r="V39" s="82"/>
      <c r="W39" s="83"/>
    </row>
    <row r="40" spans="2:23" x14ac:dyDescent="0.25">
      <c r="B40" s="84"/>
      <c r="C40" s="66"/>
      <c r="D40" s="66"/>
      <c r="E40" s="66"/>
      <c r="F40" s="66"/>
      <c r="G40" s="66"/>
      <c r="H40" s="66"/>
      <c r="I40" s="66"/>
      <c r="J40" s="66"/>
      <c r="K40" s="82"/>
      <c r="L40" s="82"/>
      <c r="M40" s="82"/>
      <c r="N40" s="82"/>
      <c r="O40" s="82"/>
      <c r="P40" s="82"/>
      <c r="Q40" s="82"/>
      <c r="R40" s="82"/>
      <c r="S40" s="82"/>
      <c r="T40" s="82"/>
      <c r="U40" s="82"/>
      <c r="V40" s="82"/>
      <c r="W40" s="83"/>
    </row>
    <row r="41" spans="2:23" x14ac:dyDescent="0.25">
      <c r="B41" s="84"/>
      <c r="C41" s="66"/>
      <c r="D41" s="66"/>
      <c r="E41" s="66"/>
      <c r="F41" s="66"/>
      <c r="G41" s="66"/>
      <c r="H41" s="66"/>
      <c r="I41" s="66"/>
      <c r="J41" s="66"/>
      <c r="K41" s="82"/>
      <c r="L41" s="82"/>
      <c r="M41" s="82"/>
      <c r="N41" s="82"/>
      <c r="O41" s="82"/>
      <c r="P41" s="82"/>
      <c r="Q41" s="82"/>
      <c r="R41" s="82"/>
      <c r="S41" s="82"/>
      <c r="T41" s="82"/>
      <c r="U41" s="82"/>
      <c r="V41" s="82"/>
      <c r="W41" s="83"/>
    </row>
    <row r="42" spans="2:23" x14ac:dyDescent="0.25">
      <c r="B42" s="84"/>
      <c r="C42" s="66"/>
      <c r="D42" s="66"/>
      <c r="E42" s="66"/>
      <c r="F42" s="66"/>
      <c r="G42" s="66"/>
      <c r="H42" s="66"/>
      <c r="I42" s="66"/>
      <c r="J42" s="66"/>
      <c r="K42" s="82"/>
      <c r="L42" s="82"/>
      <c r="M42" s="82"/>
      <c r="N42" s="82"/>
      <c r="O42" s="82"/>
      <c r="P42" s="82"/>
      <c r="Q42" s="82"/>
      <c r="R42" s="82"/>
      <c r="S42" s="82"/>
      <c r="T42" s="82"/>
      <c r="U42" s="82"/>
      <c r="V42" s="82"/>
      <c r="W42" s="83"/>
    </row>
    <row r="43" spans="2:23" x14ac:dyDescent="0.25">
      <c r="B43" s="84"/>
      <c r="C43" s="66"/>
      <c r="D43" s="66"/>
      <c r="E43" s="66"/>
      <c r="F43" s="66"/>
      <c r="G43" s="66"/>
      <c r="H43" s="66"/>
      <c r="I43" s="66"/>
      <c r="J43" s="66"/>
      <c r="K43" s="82"/>
      <c r="L43" s="82"/>
      <c r="M43" s="82"/>
      <c r="N43" s="82"/>
      <c r="O43" s="82"/>
      <c r="P43" s="82"/>
      <c r="Q43" s="82"/>
      <c r="R43" s="82"/>
      <c r="S43" s="82"/>
      <c r="T43" s="82"/>
      <c r="U43" s="82"/>
      <c r="V43" s="82"/>
      <c r="W43" s="83"/>
    </row>
    <row r="44" spans="2:23" ht="15.75" thickBot="1" x14ac:dyDescent="0.3">
      <c r="B44" s="85"/>
      <c r="C44" s="86"/>
      <c r="D44" s="86"/>
      <c r="E44" s="86"/>
      <c r="F44" s="86"/>
      <c r="G44" s="86"/>
      <c r="H44" s="86"/>
      <c r="I44" s="86"/>
      <c r="J44" s="86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  <c r="W44" s="88"/>
    </row>
    <row r="45" spans="2:23" ht="15.75" thickBot="1" x14ac:dyDescent="0.3"/>
    <row r="46" spans="2:23" x14ac:dyDescent="0.25">
      <c r="B46" s="89"/>
      <c r="C46" s="90"/>
      <c r="D46" s="90"/>
      <c r="E46" s="90"/>
      <c r="F46" s="90"/>
      <c r="G46" s="90"/>
      <c r="H46" s="90"/>
      <c r="I46" s="90"/>
      <c r="J46" s="90"/>
      <c r="K46" s="79"/>
      <c r="L46" s="79"/>
      <c r="M46" s="79"/>
      <c r="N46" s="79"/>
      <c r="O46" s="79"/>
      <c r="P46" s="79"/>
      <c r="Q46" s="79"/>
      <c r="R46" s="79"/>
      <c r="S46" s="79"/>
      <c r="T46" s="79"/>
      <c r="U46" s="79"/>
      <c r="V46" s="79"/>
      <c r="W46" s="80"/>
    </row>
    <row r="47" spans="2:23" x14ac:dyDescent="0.25">
      <c r="B47" s="84"/>
      <c r="C47" s="66"/>
      <c r="D47" s="66"/>
      <c r="E47" s="66"/>
      <c r="F47" s="66"/>
      <c r="G47" s="66"/>
      <c r="H47" s="66"/>
      <c r="I47" s="66"/>
      <c r="J47" s="66"/>
      <c r="K47" s="82"/>
      <c r="L47" s="82"/>
      <c r="M47" s="82"/>
      <c r="N47" s="82"/>
      <c r="O47" s="82"/>
      <c r="P47" s="82"/>
      <c r="Q47" s="82"/>
      <c r="R47" s="82"/>
      <c r="S47" s="82"/>
      <c r="T47" s="82"/>
      <c r="U47" s="82"/>
      <c r="V47" s="82"/>
      <c r="W47" s="83"/>
    </row>
    <row r="48" spans="2:23" x14ac:dyDescent="0.25">
      <c r="B48" s="84"/>
      <c r="C48" s="66"/>
      <c r="D48" s="66"/>
      <c r="E48" s="66"/>
      <c r="F48" s="66"/>
      <c r="G48" s="66"/>
      <c r="H48" s="66"/>
      <c r="I48" s="66"/>
      <c r="J48" s="66"/>
      <c r="K48" s="82"/>
      <c r="L48" s="82"/>
      <c r="M48" s="82"/>
      <c r="N48" s="82"/>
      <c r="O48" s="82"/>
      <c r="P48" s="82"/>
      <c r="Q48" s="82"/>
      <c r="R48" s="82"/>
      <c r="S48" s="82"/>
      <c r="T48" s="82"/>
      <c r="U48" s="82"/>
      <c r="V48" s="82"/>
      <c r="W48" s="83"/>
    </row>
    <row r="49" spans="2:23" x14ac:dyDescent="0.25">
      <c r="B49" s="84"/>
      <c r="C49" s="66"/>
      <c r="D49" s="66"/>
      <c r="E49" s="66"/>
      <c r="F49" s="66"/>
      <c r="G49" s="66"/>
      <c r="H49" s="66"/>
      <c r="I49" s="66"/>
      <c r="J49" s="66"/>
      <c r="K49" s="82"/>
      <c r="L49" s="82"/>
      <c r="M49" s="82"/>
      <c r="N49" s="82"/>
      <c r="O49" s="82"/>
      <c r="P49" s="82"/>
      <c r="Q49" s="82"/>
      <c r="R49" s="82"/>
      <c r="S49" s="82"/>
      <c r="T49" s="82"/>
      <c r="U49" s="82"/>
      <c r="V49" s="82"/>
      <c r="W49" s="83"/>
    </row>
    <row r="50" spans="2:23" x14ac:dyDescent="0.25">
      <c r="B50" s="84"/>
      <c r="C50" s="66"/>
      <c r="D50" s="66"/>
      <c r="E50" s="66"/>
      <c r="F50" s="66"/>
      <c r="G50" s="66"/>
      <c r="H50" s="66"/>
      <c r="I50" s="66"/>
      <c r="J50" s="66"/>
      <c r="K50" s="82"/>
      <c r="L50" s="82"/>
      <c r="M50" s="82"/>
      <c r="N50" s="82"/>
      <c r="O50" s="82"/>
      <c r="P50" s="82"/>
      <c r="Q50" s="82"/>
      <c r="R50" s="82"/>
      <c r="S50" s="82"/>
      <c r="T50" s="82"/>
      <c r="U50" s="82"/>
      <c r="V50" s="82"/>
      <c r="W50" s="83"/>
    </row>
    <row r="51" spans="2:23" x14ac:dyDescent="0.25">
      <c r="B51" s="84"/>
      <c r="C51" s="66"/>
      <c r="D51" s="66"/>
      <c r="E51" s="66"/>
      <c r="F51" s="66"/>
      <c r="G51" s="66"/>
      <c r="H51" s="66"/>
      <c r="I51" s="66"/>
      <c r="J51" s="66"/>
      <c r="K51" s="82"/>
      <c r="L51" s="82"/>
      <c r="M51" s="82"/>
      <c r="N51" s="82"/>
      <c r="O51" s="82"/>
      <c r="P51" s="82"/>
      <c r="Q51" s="82"/>
      <c r="R51" s="82"/>
      <c r="S51" s="82"/>
      <c r="T51" s="82"/>
      <c r="U51" s="82"/>
      <c r="V51" s="82"/>
      <c r="W51" s="83"/>
    </row>
    <row r="52" spans="2:23" x14ac:dyDescent="0.25">
      <c r="B52" s="84"/>
      <c r="C52" s="66"/>
      <c r="D52" s="66"/>
      <c r="E52" s="66"/>
      <c r="F52" s="66"/>
      <c r="G52" s="66"/>
      <c r="H52" s="66"/>
      <c r="I52" s="66"/>
      <c r="J52" s="66"/>
      <c r="K52" s="82"/>
      <c r="L52" s="82"/>
      <c r="M52" s="82"/>
      <c r="N52" s="82"/>
      <c r="O52" s="82"/>
      <c r="P52" s="82"/>
      <c r="Q52" s="82"/>
      <c r="R52" s="82"/>
      <c r="S52" s="82"/>
      <c r="T52" s="82"/>
      <c r="U52" s="82"/>
      <c r="V52" s="82"/>
      <c r="W52" s="83"/>
    </row>
    <row r="53" spans="2:23" x14ac:dyDescent="0.25">
      <c r="B53" s="84"/>
      <c r="C53" s="66"/>
      <c r="D53" s="66"/>
      <c r="E53" s="66"/>
      <c r="F53" s="66"/>
      <c r="G53" s="66"/>
      <c r="H53" s="66"/>
      <c r="I53" s="66"/>
      <c r="J53" s="66"/>
      <c r="K53" s="82"/>
      <c r="L53" s="82"/>
      <c r="M53" s="82"/>
      <c r="N53" s="82"/>
      <c r="O53" s="82"/>
      <c r="P53" s="82"/>
      <c r="Q53" s="82"/>
      <c r="R53" s="82"/>
      <c r="S53" s="82"/>
      <c r="T53" s="82"/>
      <c r="U53" s="82"/>
      <c r="V53" s="82"/>
      <c r="W53" s="83"/>
    </row>
    <row r="54" spans="2:23" x14ac:dyDescent="0.25">
      <c r="B54" s="84"/>
      <c r="C54" s="66"/>
      <c r="D54" s="66"/>
      <c r="E54" s="66"/>
      <c r="F54" s="66"/>
      <c r="G54" s="66"/>
      <c r="H54" s="66"/>
      <c r="I54" s="66"/>
      <c r="J54" s="66"/>
      <c r="K54" s="82"/>
      <c r="L54" s="82"/>
      <c r="M54" s="82"/>
      <c r="N54" s="82"/>
      <c r="O54" s="82"/>
      <c r="P54" s="82"/>
      <c r="Q54" s="82"/>
      <c r="R54" s="82"/>
      <c r="S54" s="82"/>
      <c r="T54" s="82"/>
      <c r="U54" s="82"/>
      <c r="V54" s="82"/>
      <c r="W54" s="83"/>
    </row>
    <row r="55" spans="2:23" x14ac:dyDescent="0.25">
      <c r="B55" s="84"/>
      <c r="C55" s="66"/>
      <c r="D55" s="66"/>
      <c r="E55" s="66"/>
      <c r="F55" s="66"/>
      <c r="G55" s="66"/>
      <c r="H55" s="66"/>
      <c r="I55" s="66"/>
      <c r="J55" s="66"/>
      <c r="K55" s="82"/>
      <c r="L55" s="82"/>
      <c r="M55" s="82"/>
      <c r="N55" s="82"/>
      <c r="O55" s="82"/>
      <c r="P55" s="82"/>
      <c r="Q55" s="82"/>
      <c r="R55" s="82"/>
      <c r="S55" s="82"/>
      <c r="T55" s="82"/>
      <c r="U55" s="82"/>
      <c r="V55" s="82"/>
      <c r="W55" s="83"/>
    </row>
    <row r="56" spans="2:23" x14ac:dyDescent="0.25">
      <c r="B56" s="84"/>
      <c r="C56" s="66"/>
      <c r="D56" s="66"/>
      <c r="E56" s="66"/>
      <c r="F56" s="66"/>
      <c r="G56" s="66"/>
      <c r="H56" s="66"/>
      <c r="I56" s="66"/>
      <c r="J56" s="66"/>
      <c r="K56" s="82"/>
      <c r="L56" s="82"/>
      <c r="M56" s="82"/>
      <c r="N56" s="82"/>
      <c r="O56" s="82"/>
      <c r="P56" s="82"/>
      <c r="Q56" s="82"/>
      <c r="R56" s="82"/>
      <c r="S56" s="82"/>
      <c r="T56" s="82"/>
      <c r="U56" s="82"/>
      <c r="V56" s="82"/>
      <c r="W56" s="83"/>
    </row>
    <row r="57" spans="2:23" x14ac:dyDescent="0.25">
      <c r="B57" s="84"/>
      <c r="C57" s="66"/>
      <c r="D57" s="66"/>
      <c r="E57" s="66"/>
      <c r="F57" s="66"/>
      <c r="G57" s="66"/>
      <c r="H57" s="66"/>
      <c r="I57" s="66"/>
      <c r="J57" s="66"/>
      <c r="K57" s="82"/>
      <c r="L57" s="82"/>
      <c r="M57" s="82"/>
      <c r="N57" s="82"/>
      <c r="O57" s="82"/>
      <c r="P57" s="82"/>
      <c r="Q57" s="82"/>
      <c r="R57" s="82"/>
      <c r="S57" s="82"/>
      <c r="T57" s="82"/>
      <c r="U57" s="82"/>
      <c r="V57" s="82"/>
      <c r="W57" s="83"/>
    </row>
    <row r="58" spans="2:23" x14ac:dyDescent="0.25">
      <c r="B58" s="84"/>
      <c r="C58" s="66"/>
      <c r="D58" s="66"/>
      <c r="E58" s="66"/>
      <c r="F58" s="66"/>
      <c r="G58" s="66"/>
      <c r="H58" s="66"/>
      <c r="I58" s="66"/>
      <c r="J58" s="66"/>
      <c r="K58" s="82"/>
      <c r="L58" s="82"/>
      <c r="M58" s="82"/>
      <c r="N58" s="82"/>
      <c r="O58" s="82"/>
      <c r="P58" s="82"/>
      <c r="Q58" s="82"/>
      <c r="R58" s="82"/>
      <c r="S58" s="82"/>
      <c r="T58" s="82"/>
      <c r="U58" s="82"/>
      <c r="V58" s="82"/>
      <c r="W58" s="83"/>
    </row>
    <row r="59" spans="2:23" x14ac:dyDescent="0.25">
      <c r="B59" s="84"/>
      <c r="C59" s="66"/>
      <c r="D59" s="66"/>
      <c r="E59" s="66"/>
      <c r="F59" s="66"/>
      <c r="G59" s="66"/>
      <c r="H59" s="66"/>
      <c r="I59" s="66"/>
      <c r="J59" s="66"/>
      <c r="K59" s="82"/>
      <c r="L59" s="82"/>
      <c r="M59" s="82"/>
      <c r="N59" s="82"/>
      <c r="O59" s="82"/>
      <c r="P59" s="82"/>
      <c r="Q59" s="82"/>
      <c r="R59" s="82"/>
      <c r="S59" s="82"/>
      <c r="T59" s="82"/>
      <c r="U59" s="82"/>
      <c r="V59" s="82"/>
      <c r="W59" s="83"/>
    </row>
    <row r="60" spans="2:23" x14ac:dyDescent="0.25">
      <c r="B60" s="84"/>
      <c r="C60" s="66"/>
      <c r="D60" s="66"/>
      <c r="E60" s="66"/>
      <c r="F60" s="66"/>
      <c r="G60" s="66"/>
      <c r="H60" s="66"/>
      <c r="I60" s="66"/>
      <c r="J60" s="66"/>
      <c r="K60" s="82"/>
      <c r="L60" s="82"/>
      <c r="M60" s="82"/>
      <c r="N60" s="82"/>
      <c r="O60" s="82"/>
      <c r="P60" s="82"/>
      <c r="Q60" s="82"/>
      <c r="R60" s="82"/>
      <c r="S60" s="82"/>
      <c r="T60" s="82"/>
      <c r="U60" s="82"/>
      <c r="V60" s="82"/>
      <c r="W60" s="83"/>
    </row>
    <row r="61" spans="2:23" x14ac:dyDescent="0.25">
      <c r="B61" s="84"/>
      <c r="C61" s="66"/>
      <c r="D61" s="66"/>
      <c r="E61" s="66"/>
      <c r="F61" s="66"/>
      <c r="G61" s="66"/>
      <c r="H61" s="66"/>
      <c r="I61" s="66"/>
      <c r="J61" s="66"/>
      <c r="K61" s="82"/>
      <c r="L61" s="82"/>
      <c r="M61" s="82"/>
      <c r="N61" s="82"/>
      <c r="O61" s="82"/>
      <c r="P61" s="82"/>
      <c r="Q61" s="82"/>
      <c r="R61" s="82"/>
      <c r="S61" s="82"/>
      <c r="T61" s="82"/>
      <c r="U61" s="82"/>
      <c r="V61" s="82"/>
      <c r="W61" s="83"/>
    </row>
    <row r="62" spans="2:23" x14ac:dyDescent="0.25">
      <c r="B62" s="84"/>
      <c r="C62" s="66"/>
      <c r="D62" s="66"/>
      <c r="E62" s="66"/>
      <c r="F62" s="66"/>
      <c r="G62" s="66"/>
      <c r="H62" s="66"/>
      <c r="I62" s="66"/>
      <c r="J62" s="66"/>
      <c r="K62" s="82"/>
      <c r="L62" s="82"/>
      <c r="M62" s="82"/>
      <c r="N62" s="82"/>
      <c r="O62" s="82"/>
      <c r="P62" s="82"/>
      <c r="Q62" s="82"/>
      <c r="R62" s="82"/>
      <c r="S62" s="82"/>
      <c r="T62" s="82"/>
      <c r="U62" s="82"/>
      <c r="V62" s="82"/>
      <c r="W62" s="83"/>
    </row>
    <row r="63" spans="2:23" x14ac:dyDescent="0.25">
      <c r="B63" s="84"/>
      <c r="C63" s="66"/>
      <c r="D63" s="66"/>
      <c r="E63" s="66"/>
      <c r="F63" s="66"/>
      <c r="G63" s="66"/>
      <c r="H63" s="66"/>
      <c r="I63" s="66"/>
      <c r="J63" s="66"/>
      <c r="K63" s="82"/>
      <c r="L63" s="82"/>
      <c r="M63" s="82"/>
      <c r="N63" s="82"/>
      <c r="O63" s="82"/>
      <c r="P63" s="82"/>
      <c r="Q63" s="82"/>
      <c r="R63" s="82"/>
      <c r="S63" s="82"/>
      <c r="T63" s="82"/>
      <c r="U63" s="82"/>
      <c r="V63" s="82"/>
      <c r="W63" s="83"/>
    </row>
    <row r="64" spans="2:23" x14ac:dyDescent="0.25">
      <c r="B64" s="84"/>
      <c r="C64" s="66"/>
      <c r="D64" s="66"/>
      <c r="E64" s="66"/>
      <c r="F64" s="66"/>
      <c r="G64" s="66"/>
      <c r="H64" s="66"/>
      <c r="I64" s="66"/>
      <c r="J64" s="66"/>
      <c r="K64" s="82"/>
      <c r="L64" s="82"/>
      <c r="M64" s="82"/>
      <c r="N64" s="82"/>
      <c r="O64" s="82"/>
      <c r="P64" s="82"/>
      <c r="Q64" s="82"/>
      <c r="R64" s="82"/>
      <c r="S64" s="82"/>
      <c r="T64" s="82"/>
      <c r="U64" s="82"/>
      <c r="V64" s="82"/>
      <c r="W64" s="83"/>
    </row>
    <row r="65" spans="2:23" x14ac:dyDescent="0.25">
      <c r="B65" s="84"/>
      <c r="C65" s="66"/>
      <c r="D65" s="66"/>
      <c r="E65" s="66"/>
      <c r="F65" s="66"/>
      <c r="G65" s="66"/>
      <c r="H65" s="66"/>
      <c r="I65" s="66"/>
      <c r="J65" s="66"/>
      <c r="K65" s="82"/>
      <c r="L65" s="82"/>
      <c r="M65" s="82"/>
      <c r="N65" s="82"/>
      <c r="O65" s="82"/>
      <c r="P65" s="82"/>
      <c r="Q65" s="82"/>
      <c r="R65" s="82"/>
      <c r="S65" s="82"/>
      <c r="T65" s="82"/>
      <c r="U65" s="82"/>
      <c r="V65" s="82"/>
      <c r="W65" s="83"/>
    </row>
    <row r="66" spans="2:23" x14ac:dyDescent="0.25">
      <c r="B66" s="84"/>
      <c r="C66" s="66"/>
      <c r="D66" s="66"/>
      <c r="E66" s="66"/>
      <c r="F66" s="66"/>
      <c r="G66" s="66"/>
      <c r="H66" s="66"/>
      <c r="I66" s="66"/>
      <c r="J66" s="66"/>
      <c r="K66" s="82"/>
      <c r="L66" s="82"/>
      <c r="M66" s="82"/>
      <c r="N66" s="82"/>
      <c r="O66" s="82"/>
      <c r="P66" s="82"/>
      <c r="Q66" s="82"/>
      <c r="R66" s="82"/>
      <c r="S66" s="82"/>
      <c r="T66" s="82"/>
      <c r="U66" s="82"/>
      <c r="V66" s="82"/>
      <c r="W66" s="83"/>
    </row>
    <row r="67" spans="2:23" x14ac:dyDescent="0.25">
      <c r="B67" s="84"/>
      <c r="C67" s="66"/>
      <c r="D67" s="66"/>
      <c r="E67" s="66"/>
      <c r="F67" s="66"/>
      <c r="G67" s="66"/>
      <c r="H67" s="66"/>
      <c r="I67" s="66"/>
      <c r="J67" s="66"/>
      <c r="K67" s="82"/>
      <c r="L67" s="82"/>
      <c r="M67" s="82"/>
      <c r="N67" s="82"/>
      <c r="O67" s="82"/>
      <c r="P67" s="82"/>
      <c r="Q67" s="82"/>
      <c r="R67" s="82"/>
      <c r="S67" s="82"/>
      <c r="T67" s="82"/>
      <c r="U67" s="82"/>
      <c r="V67" s="82"/>
      <c r="W67" s="83"/>
    </row>
    <row r="68" spans="2:23" x14ac:dyDescent="0.25">
      <c r="B68" s="84"/>
      <c r="C68" s="66"/>
      <c r="D68" s="66"/>
      <c r="E68" s="66"/>
      <c r="F68" s="66"/>
      <c r="G68" s="66"/>
      <c r="H68" s="66"/>
      <c r="I68" s="66"/>
      <c r="J68" s="66"/>
      <c r="K68" s="82"/>
      <c r="L68" s="82"/>
      <c r="M68" s="82"/>
      <c r="N68" s="82"/>
      <c r="O68" s="82"/>
      <c r="P68" s="82"/>
      <c r="Q68" s="82"/>
      <c r="R68" s="82"/>
      <c r="S68" s="82"/>
      <c r="T68" s="82"/>
      <c r="U68" s="82"/>
      <c r="V68" s="82"/>
      <c r="W68" s="83"/>
    </row>
    <row r="69" spans="2:23" x14ac:dyDescent="0.25">
      <c r="B69" s="84"/>
      <c r="C69" s="66"/>
      <c r="D69" s="66"/>
      <c r="E69" s="66"/>
      <c r="F69" s="66"/>
      <c r="G69" s="66"/>
      <c r="H69" s="66"/>
      <c r="I69" s="66"/>
      <c r="J69" s="66"/>
      <c r="K69" s="82"/>
      <c r="L69" s="82"/>
      <c r="M69" s="82"/>
      <c r="N69" s="82"/>
      <c r="O69" s="82"/>
      <c r="P69" s="82"/>
      <c r="Q69" s="82"/>
      <c r="R69" s="82"/>
      <c r="S69" s="82"/>
      <c r="T69" s="82"/>
      <c r="U69" s="82"/>
      <c r="V69" s="82"/>
      <c r="W69" s="83"/>
    </row>
    <row r="70" spans="2:23" x14ac:dyDescent="0.25">
      <c r="B70" s="84"/>
      <c r="C70" s="66"/>
      <c r="D70" s="66"/>
      <c r="E70" s="66"/>
      <c r="F70" s="66"/>
      <c r="G70" s="66"/>
      <c r="H70" s="66"/>
      <c r="I70" s="66"/>
      <c r="J70" s="66"/>
      <c r="K70" s="82"/>
      <c r="L70" s="82"/>
      <c r="M70" s="82"/>
      <c r="N70" s="82"/>
      <c r="O70" s="82"/>
      <c r="P70" s="82"/>
      <c r="Q70" s="82"/>
      <c r="R70" s="82"/>
      <c r="S70" s="82"/>
      <c r="T70" s="82"/>
      <c r="U70" s="82"/>
      <c r="V70" s="82"/>
      <c r="W70" s="83"/>
    </row>
    <row r="71" spans="2:23" x14ac:dyDescent="0.25">
      <c r="B71" s="84"/>
      <c r="C71" s="66"/>
      <c r="D71" s="66"/>
      <c r="E71" s="66"/>
      <c r="F71" s="66"/>
      <c r="G71" s="66"/>
      <c r="H71" s="66"/>
      <c r="I71" s="66"/>
      <c r="J71" s="66"/>
      <c r="K71" s="82"/>
      <c r="L71" s="82"/>
      <c r="M71" s="82"/>
      <c r="N71" s="82"/>
      <c r="O71" s="82"/>
      <c r="P71" s="82"/>
      <c r="Q71" s="82"/>
      <c r="R71" s="82"/>
      <c r="S71" s="82"/>
      <c r="T71" s="82"/>
      <c r="U71" s="82"/>
      <c r="V71" s="82"/>
      <c r="W71" s="83"/>
    </row>
    <row r="72" spans="2:23" x14ac:dyDescent="0.25">
      <c r="B72" s="84"/>
      <c r="C72" s="66"/>
      <c r="D72" s="66"/>
      <c r="E72" s="66"/>
      <c r="F72" s="66"/>
      <c r="G72" s="66"/>
      <c r="H72" s="66"/>
      <c r="I72" s="66"/>
      <c r="J72" s="66"/>
      <c r="K72" s="82"/>
      <c r="L72" s="82"/>
      <c r="M72" s="82"/>
      <c r="N72" s="82"/>
      <c r="O72" s="82"/>
      <c r="P72" s="82"/>
      <c r="Q72" s="82"/>
      <c r="R72" s="82"/>
      <c r="S72" s="82"/>
      <c r="T72" s="82"/>
      <c r="U72" s="82"/>
      <c r="V72" s="82"/>
      <c r="W72" s="83"/>
    </row>
    <row r="73" spans="2:23" x14ac:dyDescent="0.25">
      <c r="B73" s="84"/>
      <c r="C73" s="66"/>
      <c r="D73" s="66"/>
      <c r="E73" s="66"/>
      <c r="F73" s="66"/>
      <c r="G73" s="66"/>
      <c r="H73" s="66"/>
      <c r="I73" s="66"/>
      <c r="J73" s="66"/>
      <c r="K73" s="82"/>
      <c r="L73" s="82"/>
      <c r="M73" s="82"/>
      <c r="N73" s="82"/>
      <c r="O73" s="82"/>
      <c r="P73" s="82"/>
      <c r="Q73" s="82"/>
      <c r="R73" s="82"/>
      <c r="S73" s="82"/>
      <c r="T73" s="82"/>
      <c r="U73" s="82"/>
      <c r="V73" s="82"/>
      <c r="W73" s="83"/>
    </row>
    <row r="74" spans="2:23" x14ac:dyDescent="0.25">
      <c r="B74" s="84"/>
      <c r="C74" s="66"/>
      <c r="D74" s="66"/>
      <c r="E74" s="66"/>
      <c r="F74" s="66"/>
      <c r="G74" s="66"/>
      <c r="H74" s="66"/>
      <c r="I74" s="66"/>
      <c r="J74" s="66"/>
      <c r="K74" s="82"/>
      <c r="L74" s="82"/>
      <c r="M74" s="82"/>
      <c r="N74" s="82"/>
      <c r="O74" s="82"/>
      <c r="P74" s="82"/>
      <c r="Q74" s="82"/>
      <c r="R74" s="82"/>
      <c r="S74" s="82"/>
      <c r="T74" s="82"/>
      <c r="U74" s="82"/>
      <c r="V74" s="82"/>
      <c r="W74" s="83"/>
    </row>
    <row r="75" spans="2:23" x14ac:dyDescent="0.25">
      <c r="B75" s="84"/>
      <c r="C75" s="66"/>
      <c r="D75" s="66"/>
      <c r="E75" s="66"/>
      <c r="F75" s="66"/>
      <c r="G75" s="66"/>
      <c r="H75" s="66"/>
      <c r="I75" s="66"/>
      <c r="J75" s="66"/>
      <c r="K75" s="82"/>
      <c r="L75" s="82"/>
      <c r="M75" s="82"/>
      <c r="N75" s="82"/>
      <c r="O75" s="82"/>
      <c r="P75" s="82"/>
      <c r="Q75" s="82"/>
      <c r="R75" s="82"/>
      <c r="S75" s="82"/>
      <c r="T75" s="82"/>
      <c r="U75" s="82"/>
      <c r="V75" s="82"/>
      <c r="W75" s="83"/>
    </row>
    <row r="76" spans="2:23" ht="15.75" thickBot="1" x14ac:dyDescent="0.3">
      <c r="B76" s="85"/>
      <c r="C76" s="86"/>
      <c r="D76" s="86"/>
      <c r="E76" s="86"/>
      <c r="F76" s="86"/>
      <c r="G76" s="86"/>
      <c r="H76" s="86"/>
      <c r="I76" s="86"/>
      <c r="J76" s="86"/>
      <c r="K76" s="87"/>
      <c r="L76" s="87"/>
      <c r="M76" s="87"/>
      <c r="N76" s="87"/>
      <c r="O76" s="87"/>
      <c r="P76" s="87"/>
      <c r="Q76" s="87"/>
      <c r="R76" s="87"/>
      <c r="S76" s="87"/>
      <c r="T76" s="87"/>
      <c r="U76" s="87"/>
      <c r="V76" s="87"/>
      <c r="W76" s="88"/>
    </row>
    <row r="77" spans="2:23" ht="15.75" thickBot="1" x14ac:dyDescent="0.3"/>
    <row r="78" spans="2:23" x14ac:dyDescent="0.25">
      <c r="B78" s="89"/>
      <c r="C78" s="90"/>
      <c r="D78" s="90"/>
      <c r="E78" s="90"/>
      <c r="F78" s="90"/>
      <c r="G78" s="90"/>
      <c r="H78" s="90"/>
      <c r="I78" s="90"/>
      <c r="J78" s="90"/>
      <c r="K78" s="79"/>
      <c r="L78" s="79"/>
      <c r="M78" s="79"/>
      <c r="N78" s="79"/>
      <c r="O78" s="79"/>
      <c r="P78" s="79"/>
      <c r="Q78" s="79"/>
      <c r="R78" s="79"/>
      <c r="S78" s="79"/>
      <c r="T78" s="79"/>
      <c r="U78" s="79"/>
      <c r="V78" s="79"/>
      <c r="W78" s="80"/>
    </row>
    <row r="79" spans="2:23" x14ac:dyDescent="0.25">
      <c r="B79" s="84"/>
      <c r="C79" s="66"/>
      <c r="D79" s="66"/>
      <c r="E79" s="66"/>
      <c r="F79" s="66"/>
      <c r="G79" s="66"/>
      <c r="H79" s="66"/>
      <c r="I79" s="66"/>
      <c r="J79" s="66"/>
      <c r="K79" s="82"/>
      <c r="L79" s="82"/>
      <c r="M79" s="82"/>
      <c r="N79" s="82"/>
      <c r="O79" s="82"/>
      <c r="P79" s="82"/>
      <c r="Q79" s="82"/>
      <c r="R79" s="82"/>
      <c r="S79" s="82"/>
      <c r="T79" s="82"/>
      <c r="U79" s="82"/>
      <c r="V79" s="82"/>
      <c r="W79" s="83"/>
    </row>
    <row r="80" spans="2:23" x14ac:dyDescent="0.25">
      <c r="B80" s="84"/>
      <c r="C80" s="66"/>
      <c r="D80" s="66"/>
      <c r="E80" s="66"/>
      <c r="F80" s="66"/>
      <c r="G80" s="66"/>
      <c r="H80" s="66"/>
      <c r="I80" s="66"/>
      <c r="J80" s="66"/>
      <c r="K80" s="82"/>
      <c r="L80" s="82"/>
      <c r="M80" s="82"/>
      <c r="N80" s="82"/>
      <c r="O80" s="82"/>
      <c r="P80" s="82"/>
      <c r="Q80" s="82"/>
      <c r="R80" s="82"/>
      <c r="S80" s="82"/>
      <c r="T80" s="82"/>
      <c r="U80" s="82"/>
      <c r="V80" s="82"/>
      <c r="W80" s="83"/>
    </row>
    <row r="81" spans="2:23" x14ac:dyDescent="0.25">
      <c r="B81" s="84"/>
      <c r="C81" s="66"/>
      <c r="D81" s="66"/>
      <c r="E81" s="66"/>
      <c r="F81" s="66"/>
      <c r="G81" s="66"/>
      <c r="H81" s="66"/>
      <c r="I81" s="66"/>
      <c r="J81" s="66"/>
      <c r="K81" s="82"/>
      <c r="L81" s="82"/>
      <c r="M81" s="82"/>
      <c r="N81" s="82"/>
      <c r="O81" s="82"/>
      <c r="P81" s="82"/>
      <c r="Q81" s="82"/>
      <c r="R81" s="82"/>
      <c r="S81" s="82"/>
      <c r="T81" s="82"/>
      <c r="U81" s="82"/>
      <c r="V81" s="82"/>
      <c r="W81" s="83"/>
    </row>
    <row r="82" spans="2:23" x14ac:dyDescent="0.25">
      <c r="B82" s="84"/>
      <c r="C82" s="66"/>
      <c r="D82" s="66"/>
      <c r="E82" s="66"/>
      <c r="F82" s="66"/>
      <c r="G82" s="66"/>
      <c r="H82" s="66"/>
      <c r="I82" s="66"/>
      <c r="J82" s="66"/>
      <c r="K82" s="82"/>
      <c r="L82" s="82"/>
      <c r="M82" s="82"/>
      <c r="N82" s="82"/>
      <c r="O82" s="82"/>
      <c r="P82" s="82"/>
      <c r="Q82" s="82"/>
      <c r="R82" s="82"/>
      <c r="S82" s="82"/>
      <c r="T82" s="82"/>
      <c r="U82" s="82"/>
      <c r="V82" s="82"/>
      <c r="W82" s="83"/>
    </row>
    <row r="83" spans="2:23" x14ac:dyDescent="0.25">
      <c r="B83" s="84"/>
      <c r="C83" s="66"/>
      <c r="D83" s="66"/>
      <c r="E83" s="66"/>
      <c r="F83" s="66"/>
      <c r="G83" s="66"/>
      <c r="H83" s="66"/>
      <c r="I83" s="66"/>
      <c r="J83" s="66"/>
      <c r="K83" s="82"/>
      <c r="L83" s="82"/>
      <c r="M83" s="82"/>
      <c r="N83" s="82"/>
      <c r="O83" s="82"/>
      <c r="P83" s="82"/>
      <c r="Q83" s="82"/>
      <c r="R83" s="82"/>
      <c r="S83" s="82"/>
      <c r="T83" s="82"/>
      <c r="U83" s="82"/>
      <c r="V83" s="82"/>
      <c r="W83" s="83"/>
    </row>
    <row r="84" spans="2:23" x14ac:dyDescent="0.25">
      <c r="B84" s="84"/>
      <c r="C84" s="66"/>
      <c r="D84" s="66"/>
      <c r="E84" s="66"/>
      <c r="F84" s="66"/>
      <c r="G84" s="66"/>
      <c r="H84" s="66"/>
      <c r="I84" s="66"/>
      <c r="J84" s="66"/>
      <c r="K84" s="82"/>
      <c r="L84" s="82"/>
      <c r="M84" s="82"/>
      <c r="N84" s="82"/>
      <c r="O84" s="82"/>
      <c r="P84" s="82"/>
      <c r="Q84" s="82"/>
      <c r="R84" s="82"/>
      <c r="S84" s="82"/>
      <c r="T84" s="82"/>
      <c r="U84" s="82"/>
      <c r="V84" s="82"/>
      <c r="W84" s="83"/>
    </row>
    <row r="85" spans="2:23" x14ac:dyDescent="0.25">
      <c r="B85" s="84"/>
      <c r="C85" s="66"/>
      <c r="D85" s="66"/>
      <c r="E85" s="66"/>
      <c r="F85" s="66"/>
      <c r="G85" s="66"/>
      <c r="H85" s="66"/>
      <c r="I85" s="66"/>
      <c r="J85" s="66"/>
      <c r="K85" s="82"/>
      <c r="L85" s="82"/>
      <c r="M85" s="82"/>
      <c r="N85" s="82"/>
      <c r="O85" s="82"/>
      <c r="P85" s="82"/>
      <c r="Q85" s="82"/>
      <c r="R85" s="82"/>
      <c r="S85" s="82"/>
      <c r="T85" s="82"/>
      <c r="U85" s="82"/>
      <c r="V85" s="82"/>
      <c r="W85" s="83"/>
    </row>
    <row r="86" spans="2:23" x14ac:dyDescent="0.25">
      <c r="B86" s="84"/>
      <c r="C86" s="66"/>
      <c r="D86" s="66"/>
      <c r="E86" s="66"/>
      <c r="F86" s="66"/>
      <c r="G86" s="66"/>
      <c r="H86" s="66"/>
      <c r="I86" s="66"/>
      <c r="J86" s="66"/>
      <c r="K86" s="82"/>
      <c r="L86" s="82"/>
      <c r="M86" s="82"/>
      <c r="N86" s="82"/>
      <c r="O86" s="82"/>
      <c r="P86" s="82"/>
      <c r="Q86" s="82"/>
      <c r="R86" s="82"/>
      <c r="S86" s="82"/>
      <c r="T86" s="82"/>
      <c r="U86" s="82"/>
      <c r="V86" s="82"/>
      <c r="W86" s="83"/>
    </row>
    <row r="87" spans="2:23" x14ac:dyDescent="0.25">
      <c r="B87" s="84"/>
      <c r="C87" s="66"/>
      <c r="D87" s="66"/>
      <c r="E87" s="66"/>
      <c r="F87" s="66"/>
      <c r="G87" s="66"/>
      <c r="H87" s="66"/>
      <c r="I87" s="66"/>
      <c r="J87" s="66"/>
      <c r="K87" s="82"/>
      <c r="L87" s="82"/>
      <c r="M87" s="82"/>
      <c r="N87" s="82"/>
      <c r="O87" s="82"/>
      <c r="P87" s="82"/>
      <c r="Q87" s="82"/>
      <c r="R87" s="82"/>
      <c r="S87" s="82"/>
      <c r="T87" s="82"/>
      <c r="U87" s="82"/>
      <c r="V87" s="82"/>
      <c r="W87" s="83"/>
    </row>
    <row r="88" spans="2:23" x14ac:dyDescent="0.25">
      <c r="B88" s="84"/>
      <c r="C88" s="66"/>
      <c r="D88" s="66"/>
      <c r="E88" s="66"/>
      <c r="F88" s="66"/>
      <c r="G88" s="66"/>
      <c r="H88" s="66"/>
      <c r="I88" s="66"/>
      <c r="J88" s="66"/>
      <c r="K88" s="82"/>
      <c r="L88" s="82"/>
      <c r="M88" s="82"/>
      <c r="N88" s="82"/>
      <c r="O88" s="82"/>
      <c r="P88" s="82"/>
      <c r="Q88" s="82"/>
      <c r="R88" s="82"/>
      <c r="S88" s="82"/>
      <c r="T88" s="82"/>
      <c r="U88" s="82"/>
      <c r="V88" s="82"/>
      <c r="W88" s="83"/>
    </row>
    <row r="89" spans="2:23" x14ac:dyDescent="0.25">
      <c r="B89" s="84"/>
      <c r="C89" s="66"/>
      <c r="D89" s="66"/>
      <c r="E89" s="66"/>
      <c r="F89" s="66"/>
      <c r="G89" s="66"/>
      <c r="H89" s="66"/>
      <c r="I89" s="66"/>
      <c r="J89" s="66"/>
      <c r="K89" s="82"/>
      <c r="L89" s="82"/>
      <c r="M89" s="82"/>
      <c r="N89" s="82"/>
      <c r="O89" s="82"/>
      <c r="P89" s="82"/>
      <c r="Q89" s="82"/>
      <c r="R89" s="82"/>
      <c r="S89" s="82"/>
      <c r="T89" s="82"/>
      <c r="U89" s="82"/>
      <c r="V89" s="82"/>
      <c r="W89" s="83"/>
    </row>
    <row r="90" spans="2:23" x14ac:dyDescent="0.25">
      <c r="B90" s="84"/>
      <c r="C90" s="66"/>
      <c r="D90" s="66"/>
      <c r="E90" s="66"/>
      <c r="F90" s="66"/>
      <c r="G90" s="66"/>
      <c r="H90" s="66"/>
      <c r="I90" s="66"/>
      <c r="J90" s="66"/>
      <c r="K90" s="82"/>
      <c r="L90" s="82"/>
      <c r="M90" s="82"/>
      <c r="N90" s="82"/>
      <c r="O90" s="82"/>
      <c r="P90" s="82"/>
      <c r="Q90" s="82"/>
      <c r="R90" s="82"/>
      <c r="S90" s="82"/>
      <c r="T90" s="82"/>
      <c r="U90" s="82"/>
      <c r="V90" s="82"/>
      <c r="W90" s="83"/>
    </row>
    <row r="91" spans="2:23" x14ac:dyDescent="0.25">
      <c r="B91" s="84"/>
      <c r="C91" s="66"/>
      <c r="D91" s="66"/>
      <c r="E91" s="66"/>
      <c r="F91" s="66"/>
      <c r="G91" s="66"/>
      <c r="H91" s="66"/>
      <c r="I91" s="66"/>
      <c r="J91" s="66"/>
      <c r="K91" s="82"/>
      <c r="L91" s="82"/>
      <c r="M91" s="82"/>
      <c r="N91" s="82"/>
      <c r="O91" s="82"/>
      <c r="P91" s="82"/>
      <c r="Q91" s="82"/>
      <c r="R91" s="82"/>
      <c r="S91" s="82"/>
      <c r="T91" s="82"/>
      <c r="U91" s="82"/>
      <c r="V91" s="82"/>
      <c r="W91" s="83"/>
    </row>
    <row r="92" spans="2:23" x14ac:dyDescent="0.25">
      <c r="B92" s="84"/>
      <c r="C92" s="66"/>
      <c r="D92" s="66"/>
      <c r="E92" s="66"/>
      <c r="F92" s="66"/>
      <c r="G92" s="66"/>
      <c r="H92" s="66"/>
      <c r="I92" s="66"/>
      <c r="J92" s="66"/>
      <c r="K92" s="82"/>
      <c r="L92" s="82"/>
      <c r="M92" s="82"/>
      <c r="N92" s="82"/>
      <c r="O92" s="82"/>
      <c r="P92" s="82"/>
      <c r="Q92" s="82"/>
      <c r="R92" s="82"/>
      <c r="S92" s="82"/>
      <c r="T92" s="82"/>
      <c r="U92" s="82"/>
      <c r="V92" s="82"/>
      <c r="W92" s="83"/>
    </row>
    <row r="93" spans="2:23" x14ac:dyDescent="0.25">
      <c r="B93" s="84"/>
      <c r="C93" s="66"/>
      <c r="D93" s="66"/>
      <c r="E93" s="66"/>
      <c r="F93" s="66"/>
      <c r="G93" s="66"/>
      <c r="H93" s="66"/>
      <c r="I93" s="66"/>
      <c r="J93" s="66"/>
      <c r="K93" s="82"/>
      <c r="L93" s="82"/>
      <c r="M93" s="82"/>
      <c r="N93" s="82"/>
      <c r="O93" s="82"/>
      <c r="P93" s="82"/>
      <c r="Q93" s="82"/>
      <c r="R93" s="82"/>
      <c r="S93" s="82"/>
      <c r="T93" s="82"/>
      <c r="U93" s="82"/>
      <c r="V93" s="82"/>
      <c r="W93" s="83"/>
    </row>
    <row r="94" spans="2:23" x14ac:dyDescent="0.25">
      <c r="B94" s="84"/>
      <c r="C94" s="66"/>
      <c r="D94" s="66"/>
      <c r="E94" s="66"/>
      <c r="F94" s="66"/>
      <c r="G94" s="66"/>
      <c r="H94" s="66"/>
      <c r="I94" s="66"/>
      <c r="J94" s="66"/>
      <c r="K94" s="82"/>
      <c r="L94" s="82"/>
      <c r="M94" s="82"/>
      <c r="N94" s="82"/>
      <c r="O94" s="82"/>
      <c r="P94" s="82"/>
      <c r="Q94" s="82"/>
      <c r="R94" s="82"/>
      <c r="S94" s="82"/>
      <c r="T94" s="82"/>
      <c r="U94" s="82"/>
      <c r="V94" s="82"/>
      <c r="W94" s="83"/>
    </row>
    <row r="95" spans="2:23" x14ac:dyDescent="0.25">
      <c r="B95" s="84"/>
      <c r="C95" s="66"/>
      <c r="D95" s="66"/>
      <c r="E95" s="66"/>
      <c r="F95" s="66"/>
      <c r="G95" s="66"/>
      <c r="H95" s="66"/>
      <c r="I95" s="66"/>
      <c r="J95" s="66"/>
      <c r="K95" s="82"/>
      <c r="L95" s="82"/>
      <c r="M95" s="82"/>
      <c r="N95" s="82"/>
      <c r="O95" s="82"/>
      <c r="P95" s="82"/>
      <c r="Q95" s="82"/>
      <c r="R95" s="82"/>
      <c r="S95" s="82"/>
      <c r="T95" s="82"/>
      <c r="U95" s="82"/>
      <c r="V95" s="82"/>
      <c r="W95" s="83"/>
    </row>
    <row r="96" spans="2:23" x14ac:dyDescent="0.25">
      <c r="B96" s="84"/>
      <c r="C96" s="66"/>
      <c r="D96" s="66"/>
      <c r="E96" s="66"/>
      <c r="F96" s="66"/>
      <c r="G96" s="66"/>
      <c r="H96" s="66"/>
      <c r="I96" s="66"/>
      <c r="J96" s="66"/>
      <c r="K96" s="82"/>
      <c r="L96" s="82"/>
      <c r="M96" s="82"/>
      <c r="N96" s="82"/>
      <c r="O96" s="82"/>
      <c r="P96" s="82"/>
      <c r="Q96" s="82"/>
      <c r="R96" s="82"/>
      <c r="S96" s="82"/>
      <c r="T96" s="82"/>
      <c r="U96" s="82"/>
      <c r="V96" s="82"/>
      <c r="W96" s="83"/>
    </row>
    <row r="97" spans="2:23" x14ac:dyDescent="0.25">
      <c r="B97" s="84"/>
      <c r="C97" s="66"/>
      <c r="D97" s="66"/>
      <c r="E97" s="66"/>
      <c r="F97" s="66"/>
      <c r="G97" s="66"/>
      <c r="H97" s="66"/>
      <c r="I97" s="66"/>
      <c r="J97" s="66"/>
      <c r="K97" s="82"/>
      <c r="L97" s="82"/>
      <c r="M97" s="82"/>
      <c r="N97" s="82"/>
      <c r="O97" s="82"/>
      <c r="P97" s="82"/>
      <c r="Q97" s="82"/>
      <c r="R97" s="82"/>
      <c r="S97" s="82"/>
      <c r="T97" s="82"/>
      <c r="U97" s="82"/>
      <c r="V97" s="82"/>
      <c r="W97" s="83"/>
    </row>
    <row r="98" spans="2:23" x14ac:dyDescent="0.25">
      <c r="B98" s="84"/>
      <c r="C98" s="66"/>
      <c r="D98" s="66"/>
      <c r="E98" s="66"/>
      <c r="F98" s="66"/>
      <c r="G98" s="66"/>
      <c r="H98" s="66"/>
      <c r="I98" s="66"/>
      <c r="J98" s="66"/>
      <c r="K98" s="82"/>
      <c r="L98" s="82"/>
      <c r="M98" s="82"/>
      <c r="N98" s="82"/>
      <c r="O98" s="82"/>
      <c r="P98" s="82"/>
      <c r="Q98" s="82"/>
      <c r="R98" s="82"/>
      <c r="S98" s="82"/>
      <c r="T98" s="82"/>
      <c r="U98" s="82"/>
      <c r="V98" s="82"/>
      <c r="W98" s="83"/>
    </row>
    <row r="99" spans="2:23" x14ac:dyDescent="0.25">
      <c r="B99" s="84"/>
      <c r="C99" s="66"/>
      <c r="D99" s="66"/>
      <c r="E99" s="66"/>
      <c r="F99" s="66"/>
      <c r="G99" s="66"/>
      <c r="H99" s="66"/>
      <c r="I99" s="66"/>
      <c r="J99" s="66"/>
      <c r="K99" s="82"/>
      <c r="L99" s="82"/>
      <c r="M99" s="82"/>
      <c r="N99" s="82"/>
      <c r="O99" s="82"/>
      <c r="P99" s="82"/>
      <c r="Q99" s="82"/>
      <c r="R99" s="82"/>
      <c r="S99" s="82"/>
      <c r="T99" s="82"/>
      <c r="U99" s="82"/>
      <c r="V99" s="82"/>
      <c r="W99" s="83"/>
    </row>
    <row r="100" spans="2:23" x14ac:dyDescent="0.25">
      <c r="B100" s="84"/>
      <c r="C100" s="66"/>
      <c r="D100" s="66"/>
      <c r="E100" s="66"/>
      <c r="F100" s="66"/>
      <c r="G100" s="66"/>
      <c r="H100" s="66"/>
      <c r="I100" s="66"/>
      <c r="J100" s="66"/>
      <c r="K100" s="82"/>
      <c r="L100" s="82"/>
      <c r="M100" s="82"/>
      <c r="N100" s="82"/>
      <c r="O100" s="82"/>
      <c r="P100" s="82"/>
      <c r="Q100" s="82"/>
      <c r="R100" s="82"/>
      <c r="S100" s="82"/>
      <c r="T100" s="82"/>
      <c r="U100" s="82"/>
      <c r="V100" s="82"/>
      <c r="W100" s="83"/>
    </row>
    <row r="101" spans="2:23" x14ac:dyDescent="0.25">
      <c r="B101" s="84"/>
      <c r="C101" s="66"/>
      <c r="D101" s="66"/>
      <c r="E101" s="66"/>
      <c r="F101" s="66"/>
      <c r="G101" s="66"/>
      <c r="H101" s="66"/>
      <c r="I101" s="66"/>
      <c r="J101" s="66"/>
      <c r="K101" s="82"/>
      <c r="L101" s="82"/>
      <c r="M101" s="82"/>
      <c r="N101" s="82"/>
      <c r="O101" s="82"/>
      <c r="P101" s="82"/>
      <c r="Q101" s="82"/>
      <c r="R101" s="82"/>
      <c r="S101" s="82"/>
      <c r="T101" s="82"/>
      <c r="U101" s="82"/>
      <c r="V101" s="82"/>
      <c r="W101" s="83"/>
    </row>
    <row r="102" spans="2:23" x14ac:dyDescent="0.25">
      <c r="B102" s="84"/>
      <c r="C102" s="66"/>
      <c r="D102" s="66"/>
      <c r="E102" s="66"/>
      <c r="F102" s="66"/>
      <c r="G102" s="66"/>
      <c r="H102" s="66"/>
      <c r="I102" s="66"/>
      <c r="J102" s="66"/>
      <c r="K102" s="82"/>
      <c r="L102" s="82"/>
      <c r="M102" s="82"/>
      <c r="N102" s="82"/>
      <c r="O102" s="82"/>
      <c r="P102" s="82"/>
      <c r="Q102" s="82"/>
      <c r="R102" s="82"/>
      <c r="S102" s="82"/>
      <c r="T102" s="82"/>
      <c r="U102" s="82"/>
      <c r="V102" s="82"/>
      <c r="W102" s="83"/>
    </row>
    <row r="103" spans="2:23" x14ac:dyDescent="0.25">
      <c r="B103" s="84"/>
      <c r="C103" s="66"/>
      <c r="D103" s="66"/>
      <c r="E103" s="66"/>
      <c r="F103" s="66"/>
      <c r="G103" s="66"/>
      <c r="H103" s="66"/>
      <c r="I103" s="66"/>
      <c r="J103" s="66"/>
      <c r="K103" s="82"/>
      <c r="L103" s="82"/>
      <c r="M103" s="82"/>
      <c r="N103" s="82"/>
      <c r="O103" s="82"/>
      <c r="P103" s="82"/>
      <c r="Q103" s="82"/>
      <c r="R103" s="82"/>
      <c r="S103" s="82"/>
      <c r="T103" s="82"/>
      <c r="U103" s="82"/>
      <c r="V103" s="82"/>
      <c r="W103" s="83"/>
    </row>
    <row r="104" spans="2:23" x14ac:dyDescent="0.25">
      <c r="B104" s="84"/>
      <c r="C104" s="66"/>
      <c r="D104" s="66"/>
      <c r="E104" s="66"/>
      <c r="F104" s="66"/>
      <c r="G104" s="66"/>
      <c r="H104" s="66"/>
      <c r="I104" s="66"/>
      <c r="J104" s="66"/>
      <c r="K104" s="82"/>
      <c r="L104" s="82"/>
      <c r="M104" s="82"/>
      <c r="N104" s="82"/>
      <c r="O104" s="82"/>
      <c r="P104" s="82"/>
      <c r="Q104" s="82"/>
      <c r="R104" s="82"/>
      <c r="S104" s="82"/>
      <c r="T104" s="82"/>
      <c r="U104" s="82"/>
      <c r="V104" s="82"/>
      <c r="W104" s="83"/>
    </row>
    <row r="105" spans="2:23" x14ac:dyDescent="0.25">
      <c r="B105" s="84"/>
      <c r="C105" s="66"/>
      <c r="D105" s="66"/>
      <c r="E105" s="66"/>
      <c r="F105" s="66"/>
      <c r="G105" s="66"/>
      <c r="H105" s="66"/>
      <c r="I105" s="66"/>
      <c r="J105" s="66"/>
      <c r="K105" s="82"/>
      <c r="L105" s="82"/>
      <c r="M105" s="82"/>
      <c r="N105" s="82"/>
      <c r="O105" s="82"/>
      <c r="P105" s="82"/>
      <c r="Q105" s="82"/>
      <c r="R105" s="82"/>
      <c r="S105" s="82"/>
      <c r="T105" s="82"/>
      <c r="U105" s="82"/>
      <c r="V105" s="82"/>
      <c r="W105" s="83"/>
    </row>
    <row r="106" spans="2:23" x14ac:dyDescent="0.25">
      <c r="B106" s="84"/>
      <c r="C106" s="66"/>
      <c r="D106" s="66"/>
      <c r="E106" s="66"/>
      <c r="F106" s="66"/>
      <c r="G106" s="66"/>
      <c r="H106" s="66"/>
      <c r="I106" s="66"/>
      <c r="J106" s="66"/>
      <c r="K106" s="82"/>
      <c r="L106" s="82"/>
      <c r="M106" s="82"/>
      <c r="N106" s="82"/>
      <c r="O106" s="82"/>
      <c r="P106" s="82"/>
      <c r="Q106" s="82"/>
      <c r="R106" s="82"/>
      <c r="S106" s="82"/>
      <c r="T106" s="82"/>
      <c r="U106" s="82"/>
      <c r="V106" s="82"/>
      <c r="W106" s="83"/>
    </row>
    <row r="107" spans="2:23" x14ac:dyDescent="0.25">
      <c r="B107" s="84"/>
      <c r="C107" s="66"/>
      <c r="D107" s="66"/>
      <c r="E107" s="66"/>
      <c r="F107" s="66"/>
      <c r="G107" s="66"/>
      <c r="H107" s="66"/>
      <c r="I107" s="66"/>
      <c r="J107" s="66"/>
      <c r="K107" s="82"/>
      <c r="L107" s="82"/>
      <c r="M107" s="82"/>
      <c r="N107" s="82"/>
      <c r="O107" s="82"/>
      <c r="P107" s="82"/>
      <c r="Q107" s="82"/>
      <c r="R107" s="82"/>
      <c r="S107" s="82"/>
      <c r="T107" s="82"/>
      <c r="U107" s="82"/>
      <c r="V107" s="82"/>
      <c r="W107" s="83"/>
    </row>
    <row r="108" spans="2:23" ht="15.75" thickBot="1" x14ac:dyDescent="0.3">
      <c r="B108" s="85"/>
      <c r="C108" s="86"/>
      <c r="D108" s="86"/>
      <c r="E108" s="86"/>
      <c r="F108" s="86"/>
      <c r="G108" s="86"/>
      <c r="H108" s="86"/>
      <c r="I108" s="86"/>
      <c r="J108" s="86"/>
      <c r="K108" s="87"/>
      <c r="L108" s="87"/>
      <c r="M108" s="87"/>
      <c r="N108" s="87"/>
      <c r="O108" s="87"/>
      <c r="P108" s="87"/>
      <c r="Q108" s="87"/>
      <c r="R108" s="87"/>
      <c r="S108" s="87"/>
      <c r="T108" s="87"/>
      <c r="U108" s="87"/>
      <c r="V108" s="87"/>
      <c r="W108" s="88"/>
    </row>
    <row r="109" spans="2:23" ht="15.75" thickBot="1" x14ac:dyDescent="0.3"/>
    <row r="110" spans="2:23" x14ac:dyDescent="0.25">
      <c r="B110" s="89"/>
      <c r="C110" s="90"/>
      <c r="D110" s="90"/>
      <c r="E110" s="90"/>
      <c r="F110" s="90"/>
      <c r="G110" s="90"/>
      <c r="H110" s="90"/>
      <c r="I110" s="90"/>
      <c r="J110" s="90"/>
      <c r="K110" s="79"/>
      <c r="L110" s="79"/>
      <c r="M110" s="79"/>
      <c r="N110" s="79"/>
      <c r="O110" s="79"/>
      <c r="P110" s="79"/>
      <c r="Q110" s="79"/>
      <c r="R110" s="79"/>
      <c r="S110" s="79"/>
      <c r="T110" s="79"/>
      <c r="U110" s="79"/>
      <c r="V110" s="79"/>
      <c r="W110" s="80"/>
    </row>
    <row r="111" spans="2:23" x14ac:dyDescent="0.25">
      <c r="B111" s="84"/>
      <c r="C111" s="66"/>
      <c r="D111" s="66"/>
      <c r="E111" s="66"/>
      <c r="F111" s="66"/>
      <c r="G111" s="66"/>
      <c r="H111" s="66"/>
      <c r="I111" s="66"/>
      <c r="J111" s="66"/>
      <c r="K111" s="82"/>
      <c r="L111" s="82"/>
      <c r="M111" s="82"/>
      <c r="N111" s="82"/>
      <c r="O111" s="82"/>
      <c r="P111" s="82"/>
      <c r="Q111" s="82"/>
      <c r="R111" s="82"/>
      <c r="S111" s="82"/>
      <c r="T111" s="82"/>
      <c r="U111" s="82"/>
      <c r="V111" s="82"/>
      <c r="W111" s="83"/>
    </row>
    <row r="112" spans="2:23" x14ac:dyDescent="0.25">
      <c r="B112" s="84"/>
      <c r="C112" s="66"/>
      <c r="D112" s="66"/>
      <c r="E112" s="66"/>
      <c r="F112" s="66"/>
      <c r="G112" s="66"/>
      <c r="H112" s="66"/>
      <c r="I112" s="66"/>
      <c r="J112" s="66"/>
      <c r="K112" s="82"/>
      <c r="L112" s="82"/>
      <c r="M112" s="82"/>
      <c r="N112" s="82"/>
      <c r="O112" s="82"/>
      <c r="P112" s="82"/>
      <c r="Q112" s="82"/>
      <c r="R112" s="82"/>
      <c r="S112" s="82"/>
      <c r="T112" s="82"/>
      <c r="U112" s="82"/>
      <c r="V112" s="82"/>
      <c r="W112" s="83"/>
    </row>
    <row r="113" spans="2:23" x14ac:dyDescent="0.25">
      <c r="B113" s="84"/>
      <c r="C113" s="66"/>
      <c r="D113" s="66"/>
      <c r="E113" s="66"/>
      <c r="F113" s="66"/>
      <c r="G113" s="66"/>
      <c r="H113" s="66"/>
      <c r="I113" s="66"/>
      <c r="J113" s="66"/>
      <c r="K113" s="82"/>
      <c r="L113" s="82"/>
      <c r="M113" s="82"/>
      <c r="N113" s="82"/>
      <c r="O113" s="82"/>
      <c r="P113" s="82"/>
      <c r="Q113" s="82"/>
      <c r="R113" s="82"/>
      <c r="S113" s="82"/>
      <c r="T113" s="82"/>
      <c r="U113" s="82"/>
      <c r="V113" s="82"/>
      <c r="W113" s="83"/>
    </row>
    <row r="114" spans="2:23" x14ac:dyDescent="0.25">
      <c r="B114" s="84"/>
      <c r="C114" s="66"/>
      <c r="D114" s="66"/>
      <c r="E114" s="66"/>
      <c r="F114" s="66"/>
      <c r="G114" s="66"/>
      <c r="H114" s="66"/>
      <c r="I114" s="66"/>
      <c r="J114" s="66"/>
      <c r="K114" s="82"/>
      <c r="L114" s="82"/>
      <c r="M114" s="82"/>
      <c r="N114" s="82"/>
      <c r="O114" s="82"/>
      <c r="P114" s="82"/>
      <c r="Q114" s="82"/>
      <c r="R114" s="82"/>
      <c r="S114" s="82"/>
      <c r="T114" s="82"/>
      <c r="U114" s="82"/>
      <c r="V114" s="82"/>
      <c r="W114" s="83"/>
    </row>
    <row r="115" spans="2:23" x14ac:dyDescent="0.25">
      <c r="B115" s="84"/>
      <c r="C115" s="66"/>
      <c r="D115" s="66"/>
      <c r="E115" s="66"/>
      <c r="F115" s="66"/>
      <c r="G115" s="66"/>
      <c r="H115" s="66"/>
      <c r="I115" s="66"/>
      <c r="J115" s="66"/>
      <c r="K115" s="82"/>
      <c r="L115" s="82"/>
      <c r="M115" s="82"/>
      <c r="N115" s="82"/>
      <c r="O115" s="82"/>
      <c r="P115" s="82"/>
      <c r="Q115" s="82"/>
      <c r="R115" s="82"/>
      <c r="S115" s="82"/>
      <c r="T115" s="82"/>
      <c r="U115" s="82"/>
      <c r="V115" s="82"/>
      <c r="W115" s="83"/>
    </row>
    <row r="116" spans="2:23" x14ac:dyDescent="0.25">
      <c r="B116" s="84"/>
      <c r="C116" s="66"/>
      <c r="D116" s="66"/>
      <c r="E116" s="66"/>
      <c r="F116" s="66"/>
      <c r="G116" s="66"/>
      <c r="H116" s="66"/>
      <c r="I116" s="66"/>
      <c r="J116" s="66"/>
      <c r="K116" s="82"/>
      <c r="L116" s="82"/>
      <c r="M116" s="82"/>
      <c r="N116" s="82"/>
      <c r="O116" s="82"/>
      <c r="P116" s="82"/>
      <c r="Q116" s="82"/>
      <c r="R116" s="82"/>
      <c r="S116" s="82"/>
      <c r="T116" s="82"/>
      <c r="U116" s="82"/>
      <c r="V116" s="82"/>
      <c r="W116" s="83"/>
    </row>
    <row r="117" spans="2:23" x14ac:dyDescent="0.25">
      <c r="B117" s="84"/>
      <c r="C117" s="66"/>
      <c r="D117" s="66"/>
      <c r="E117" s="66"/>
      <c r="F117" s="66"/>
      <c r="G117" s="66"/>
      <c r="H117" s="66"/>
      <c r="I117" s="66"/>
      <c r="J117" s="66"/>
      <c r="K117" s="82"/>
      <c r="L117" s="82"/>
      <c r="M117" s="82"/>
      <c r="N117" s="82"/>
      <c r="O117" s="82"/>
      <c r="P117" s="82"/>
      <c r="Q117" s="82"/>
      <c r="R117" s="82"/>
      <c r="S117" s="82"/>
      <c r="T117" s="82"/>
      <c r="U117" s="82"/>
      <c r="V117" s="82"/>
      <c r="W117" s="83"/>
    </row>
    <row r="118" spans="2:23" x14ac:dyDescent="0.25">
      <c r="B118" s="84"/>
      <c r="C118" s="66"/>
      <c r="D118" s="66"/>
      <c r="E118" s="66"/>
      <c r="F118" s="66"/>
      <c r="G118" s="66"/>
      <c r="H118" s="66"/>
      <c r="I118" s="66"/>
      <c r="J118" s="66"/>
      <c r="K118" s="82"/>
      <c r="L118" s="82"/>
      <c r="M118" s="82"/>
      <c r="N118" s="82"/>
      <c r="O118" s="82"/>
      <c r="P118" s="82"/>
      <c r="Q118" s="82"/>
      <c r="R118" s="82"/>
      <c r="S118" s="82"/>
      <c r="T118" s="82"/>
      <c r="U118" s="82"/>
      <c r="V118" s="82"/>
      <c r="W118" s="83"/>
    </row>
    <row r="119" spans="2:23" x14ac:dyDescent="0.25">
      <c r="B119" s="84"/>
      <c r="C119" s="66"/>
      <c r="D119" s="66"/>
      <c r="E119" s="66"/>
      <c r="F119" s="66"/>
      <c r="G119" s="66"/>
      <c r="H119" s="66"/>
      <c r="I119" s="66"/>
      <c r="J119" s="66"/>
      <c r="K119" s="82"/>
      <c r="L119" s="82"/>
      <c r="M119" s="82"/>
      <c r="N119" s="82"/>
      <c r="O119" s="82"/>
      <c r="P119" s="82"/>
      <c r="Q119" s="82"/>
      <c r="R119" s="82"/>
      <c r="S119" s="82"/>
      <c r="T119" s="82"/>
      <c r="U119" s="82"/>
      <c r="V119" s="82"/>
      <c r="W119" s="83"/>
    </row>
    <row r="120" spans="2:23" x14ac:dyDescent="0.25">
      <c r="B120" s="84"/>
      <c r="C120" s="66"/>
      <c r="D120" s="66"/>
      <c r="E120" s="66"/>
      <c r="F120" s="66"/>
      <c r="G120" s="66"/>
      <c r="H120" s="66"/>
      <c r="I120" s="66"/>
      <c r="J120" s="66"/>
      <c r="K120" s="82"/>
      <c r="L120" s="82"/>
      <c r="M120" s="82"/>
      <c r="N120" s="82"/>
      <c r="O120" s="82"/>
      <c r="P120" s="82"/>
      <c r="Q120" s="82"/>
      <c r="R120" s="82"/>
      <c r="S120" s="82"/>
      <c r="T120" s="82"/>
      <c r="U120" s="82"/>
      <c r="V120" s="82"/>
      <c r="W120" s="83"/>
    </row>
    <row r="121" spans="2:23" x14ac:dyDescent="0.25">
      <c r="B121" s="84"/>
      <c r="C121" s="66"/>
      <c r="D121" s="66"/>
      <c r="E121" s="66"/>
      <c r="F121" s="66"/>
      <c r="G121" s="66"/>
      <c r="H121" s="66"/>
      <c r="I121" s="66"/>
      <c r="J121" s="66"/>
      <c r="K121" s="82"/>
      <c r="L121" s="82"/>
      <c r="M121" s="82"/>
      <c r="N121" s="82"/>
      <c r="O121" s="82"/>
      <c r="P121" s="82"/>
      <c r="Q121" s="82"/>
      <c r="R121" s="82"/>
      <c r="S121" s="82"/>
      <c r="T121" s="82"/>
      <c r="U121" s="82"/>
      <c r="V121" s="82"/>
      <c r="W121" s="83"/>
    </row>
    <row r="122" spans="2:23" x14ac:dyDescent="0.25">
      <c r="B122" s="84"/>
      <c r="C122" s="66"/>
      <c r="D122" s="66"/>
      <c r="E122" s="66"/>
      <c r="F122" s="66"/>
      <c r="G122" s="66"/>
      <c r="H122" s="66"/>
      <c r="I122" s="66"/>
      <c r="J122" s="66"/>
      <c r="K122" s="82"/>
      <c r="L122" s="82"/>
      <c r="M122" s="82"/>
      <c r="N122" s="82"/>
      <c r="O122" s="82"/>
      <c r="P122" s="82"/>
      <c r="Q122" s="82"/>
      <c r="R122" s="82"/>
      <c r="S122" s="82"/>
      <c r="T122" s="82"/>
      <c r="U122" s="82"/>
      <c r="V122" s="82"/>
      <c r="W122" s="83"/>
    </row>
    <row r="123" spans="2:23" x14ac:dyDescent="0.25">
      <c r="B123" s="84"/>
      <c r="C123" s="66"/>
      <c r="D123" s="66"/>
      <c r="E123" s="66"/>
      <c r="F123" s="66"/>
      <c r="G123" s="66"/>
      <c r="H123" s="66"/>
      <c r="I123" s="66"/>
      <c r="J123" s="66"/>
      <c r="K123" s="82"/>
      <c r="L123" s="82"/>
      <c r="M123" s="82"/>
      <c r="N123" s="82"/>
      <c r="O123" s="82"/>
      <c r="P123" s="82"/>
      <c r="Q123" s="82"/>
      <c r="R123" s="82"/>
      <c r="S123" s="82"/>
      <c r="T123" s="82"/>
      <c r="U123" s="82"/>
      <c r="V123" s="82"/>
      <c r="W123" s="83"/>
    </row>
    <row r="124" spans="2:23" x14ac:dyDescent="0.25">
      <c r="B124" s="84"/>
      <c r="C124" s="66"/>
      <c r="D124" s="66"/>
      <c r="E124" s="66"/>
      <c r="F124" s="66"/>
      <c r="G124" s="66"/>
      <c r="H124" s="66"/>
      <c r="I124" s="66"/>
      <c r="J124" s="66"/>
      <c r="K124" s="82"/>
      <c r="L124" s="82"/>
      <c r="M124" s="82"/>
      <c r="N124" s="82"/>
      <c r="O124" s="82"/>
      <c r="P124" s="82"/>
      <c r="Q124" s="82"/>
      <c r="R124" s="82"/>
      <c r="S124" s="82"/>
      <c r="T124" s="82"/>
      <c r="U124" s="82"/>
      <c r="V124" s="82"/>
      <c r="W124" s="83"/>
    </row>
    <row r="125" spans="2:23" x14ac:dyDescent="0.25">
      <c r="B125" s="84"/>
      <c r="C125" s="66"/>
      <c r="D125" s="66"/>
      <c r="E125" s="66"/>
      <c r="F125" s="66"/>
      <c r="G125" s="66"/>
      <c r="H125" s="66"/>
      <c r="I125" s="66"/>
      <c r="J125" s="66"/>
      <c r="K125" s="82"/>
      <c r="L125" s="82"/>
      <c r="M125" s="82"/>
      <c r="N125" s="82"/>
      <c r="O125" s="82"/>
      <c r="P125" s="82"/>
      <c r="Q125" s="82"/>
      <c r="R125" s="82"/>
      <c r="S125" s="82"/>
      <c r="T125" s="82"/>
      <c r="U125" s="82"/>
      <c r="V125" s="82"/>
      <c r="W125" s="83"/>
    </row>
    <row r="126" spans="2:23" x14ac:dyDescent="0.25">
      <c r="B126" s="84"/>
      <c r="C126" s="66"/>
      <c r="D126" s="66"/>
      <c r="E126" s="66"/>
      <c r="F126" s="66"/>
      <c r="G126" s="66"/>
      <c r="H126" s="66"/>
      <c r="I126" s="66"/>
      <c r="J126" s="66"/>
      <c r="K126" s="82"/>
      <c r="L126" s="82"/>
      <c r="M126" s="82"/>
      <c r="N126" s="82"/>
      <c r="O126" s="82"/>
      <c r="P126" s="82"/>
      <c r="Q126" s="82"/>
      <c r="R126" s="82"/>
      <c r="S126" s="82"/>
      <c r="T126" s="82"/>
      <c r="U126" s="82"/>
      <c r="V126" s="82"/>
      <c r="W126" s="83"/>
    </row>
    <row r="127" spans="2:23" x14ac:dyDescent="0.25">
      <c r="B127" s="84"/>
      <c r="C127" s="66"/>
      <c r="D127" s="66"/>
      <c r="E127" s="66"/>
      <c r="F127" s="66"/>
      <c r="G127" s="66"/>
      <c r="H127" s="66"/>
      <c r="I127" s="66"/>
      <c r="J127" s="66"/>
      <c r="K127" s="82"/>
      <c r="L127" s="82"/>
      <c r="M127" s="82"/>
      <c r="N127" s="82"/>
      <c r="O127" s="82"/>
      <c r="P127" s="82"/>
      <c r="Q127" s="82"/>
      <c r="R127" s="82"/>
      <c r="S127" s="82"/>
      <c r="T127" s="82"/>
      <c r="U127" s="82"/>
      <c r="V127" s="82"/>
      <c r="W127" s="83"/>
    </row>
    <row r="128" spans="2:23" x14ac:dyDescent="0.25">
      <c r="B128" s="84"/>
      <c r="C128" s="66"/>
      <c r="D128" s="66"/>
      <c r="E128" s="66"/>
      <c r="F128" s="66"/>
      <c r="G128" s="66"/>
      <c r="H128" s="66"/>
      <c r="I128" s="66"/>
      <c r="J128" s="66"/>
      <c r="K128" s="82"/>
      <c r="L128" s="82"/>
      <c r="M128" s="82"/>
      <c r="N128" s="82"/>
      <c r="O128" s="82"/>
      <c r="P128" s="82"/>
      <c r="Q128" s="82"/>
      <c r="R128" s="82"/>
      <c r="S128" s="82"/>
      <c r="T128" s="82"/>
      <c r="U128" s="82"/>
      <c r="V128" s="82"/>
      <c r="W128" s="83"/>
    </row>
    <row r="129" spans="2:23" x14ac:dyDescent="0.25">
      <c r="B129" s="84"/>
      <c r="C129" s="66"/>
      <c r="D129" s="66"/>
      <c r="E129" s="66"/>
      <c r="F129" s="66"/>
      <c r="G129" s="66"/>
      <c r="H129" s="66"/>
      <c r="I129" s="66"/>
      <c r="J129" s="66"/>
      <c r="K129" s="82"/>
      <c r="L129" s="82"/>
      <c r="M129" s="82"/>
      <c r="N129" s="82"/>
      <c r="O129" s="82"/>
      <c r="P129" s="82"/>
      <c r="Q129" s="82"/>
      <c r="R129" s="82"/>
      <c r="S129" s="82"/>
      <c r="T129" s="82"/>
      <c r="U129" s="82"/>
      <c r="V129" s="82"/>
      <c r="W129" s="83"/>
    </row>
    <row r="130" spans="2:23" x14ac:dyDescent="0.25">
      <c r="B130" s="84"/>
      <c r="C130" s="66"/>
      <c r="D130" s="66"/>
      <c r="E130" s="66"/>
      <c r="F130" s="66"/>
      <c r="G130" s="66"/>
      <c r="H130" s="66"/>
      <c r="I130" s="66"/>
      <c r="J130" s="66"/>
      <c r="K130" s="82"/>
      <c r="L130" s="82"/>
      <c r="M130" s="82"/>
      <c r="N130" s="82"/>
      <c r="O130" s="82"/>
      <c r="P130" s="82"/>
      <c r="Q130" s="82"/>
      <c r="R130" s="82"/>
      <c r="S130" s="82"/>
      <c r="T130" s="82"/>
      <c r="U130" s="82"/>
      <c r="V130" s="82"/>
      <c r="W130" s="83"/>
    </row>
    <row r="131" spans="2:23" x14ac:dyDescent="0.25">
      <c r="B131" s="84"/>
      <c r="C131" s="66"/>
      <c r="D131" s="66"/>
      <c r="E131" s="66"/>
      <c r="F131" s="66"/>
      <c r="G131" s="66"/>
      <c r="H131" s="66"/>
      <c r="I131" s="66"/>
      <c r="J131" s="66"/>
      <c r="K131" s="82"/>
      <c r="L131" s="82"/>
      <c r="M131" s="82"/>
      <c r="N131" s="82"/>
      <c r="O131" s="82"/>
      <c r="P131" s="82"/>
      <c r="Q131" s="82"/>
      <c r="R131" s="82"/>
      <c r="S131" s="82"/>
      <c r="T131" s="82"/>
      <c r="U131" s="82"/>
      <c r="V131" s="82"/>
      <c r="W131" s="83"/>
    </row>
    <row r="132" spans="2:23" x14ac:dyDescent="0.25">
      <c r="B132" s="84"/>
      <c r="C132" s="66"/>
      <c r="D132" s="66"/>
      <c r="E132" s="66"/>
      <c r="F132" s="66"/>
      <c r="G132" s="66"/>
      <c r="H132" s="66"/>
      <c r="I132" s="66"/>
      <c r="J132" s="66"/>
      <c r="K132" s="82"/>
      <c r="L132" s="82"/>
      <c r="M132" s="82"/>
      <c r="N132" s="82"/>
      <c r="O132" s="82"/>
      <c r="P132" s="82"/>
      <c r="Q132" s="82"/>
      <c r="R132" s="82"/>
      <c r="S132" s="82"/>
      <c r="T132" s="82"/>
      <c r="U132" s="82"/>
      <c r="V132" s="82"/>
      <c r="W132" s="83"/>
    </row>
    <row r="133" spans="2:23" x14ac:dyDescent="0.25">
      <c r="B133" s="84"/>
      <c r="C133" s="66"/>
      <c r="D133" s="66"/>
      <c r="E133" s="66"/>
      <c r="F133" s="66"/>
      <c r="G133" s="66"/>
      <c r="H133" s="66"/>
      <c r="I133" s="66"/>
      <c r="J133" s="66"/>
      <c r="K133" s="82"/>
      <c r="L133" s="82"/>
      <c r="M133" s="82"/>
      <c r="N133" s="82"/>
      <c r="O133" s="82"/>
      <c r="P133" s="82"/>
      <c r="Q133" s="82"/>
      <c r="R133" s="82"/>
      <c r="S133" s="82"/>
      <c r="T133" s="82"/>
      <c r="U133" s="82"/>
      <c r="V133" s="82"/>
      <c r="W133" s="83"/>
    </row>
    <row r="134" spans="2:23" x14ac:dyDescent="0.25">
      <c r="B134" s="84"/>
      <c r="C134" s="66"/>
      <c r="D134" s="66"/>
      <c r="E134" s="66"/>
      <c r="F134" s="66"/>
      <c r="G134" s="66"/>
      <c r="H134" s="66"/>
      <c r="I134" s="66"/>
      <c r="J134" s="66"/>
      <c r="K134" s="82"/>
      <c r="L134" s="82"/>
      <c r="M134" s="82"/>
      <c r="N134" s="82"/>
      <c r="O134" s="82"/>
      <c r="P134" s="82"/>
      <c r="Q134" s="82"/>
      <c r="R134" s="82"/>
      <c r="S134" s="82"/>
      <c r="T134" s="82"/>
      <c r="U134" s="82"/>
      <c r="V134" s="82"/>
      <c r="W134" s="83"/>
    </row>
    <row r="135" spans="2:23" x14ac:dyDescent="0.25">
      <c r="B135" s="84"/>
      <c r="C135" s="66"/>
      <c r="D135" s="66"/>
      <c r="E135" s="66"/>
      <c r="F135" s="66"/>
      <c r="G135" s="66"/>
      <c r="H135" s="66"/>
      <c r="I135" s="66"/>
      <c r="J135" s="66"/>
      <c r="K135" s="82"/>
      <c r="L135" s="82"/>
      <c r="M135" s="82"/>
      <c r="N135" s="82"/>
      <c r="O135" s="82"/>
      <c r="P135" s="82"/>
      <c r="Q135" s="82"/>
      <c r="R135" s="82"/>
      <c r="S135" s="82"/>
      <c r="T135" s="82"/>
      <c r="U135" s="82"/>
      <c r="V135" s="82"/>
      <c r="W135" s="83"/>
    </row>
    <row r="136" spans="2:23" x14ac:dyDescent="0.25">
      <c r="B136" s="84"/>
      <c r="C136" s="66"/>
      <c r="D136" s="66"/>
      <c r="E136" s="66"/>
      <c r="F136" s="66"/>
      <c r="G136" s="66"/>
      <c r="H136" s="66"/>
      <c r="I136" s="66"/>
      <c r="J136" s="66"/>
      <c r="K136" s="82"/>
      <c r="L136" s="82"/>
      <c r="M136" s="82"/>
      <c r="N136" s="82"/>
      <c r="O136" s="82"/>
      <c r="P136" s="82"/>
      <c r="Q136" s="82"/>
      <c r="R136" s="82"/>
      <c r="S136" s="82"/>
      <c r="T136" s="82"/>
      <c r="U136" s="82"/>
      <c r="V136" s="82"/>
      <c r="W136" s="83"/>
    </row>
    <row r="137" spans="2:23" x14ac:dyDescent="0.25">
      <c r="B137" s="84"/>
      <c r="C137" s="66"/>
      <c r="D137" s="66"/>
      <c r="E137" s="66"/>
      <c r="F137" s="66"/>
      <c r="G137" s="66"/>
      <c r="H137" s="66"/>
      <c r="I137" s="66"/>
      <c r="J137" s="66"/>
      <c r="K137" s="82"/>
      <c r="L137" s="82"/>
      <c r="M137" s="82"/>
      <c r="N137" s="82"/>
      <c r="O137" s="82"/>
      <c r="P137" s="82"/>
      <c r="Q137" s="82"/>
      <c r="R137" s="82"/>
      <c r="S137" s="82"/>
      <c r="T137" s="82"/>
      <c r="U137" s="82"/>
      <c r="V137" s="82"/>
      <c r="W137" s="83"/>
    </row>
    <row r="138" spans="2:23" x14ac:dyDescent="0.25">
      <c r="B138" s="84"/>
      <c r="C138" s="66"/>
      <c r="D138" s="66"/>
      <c r="E138" s="66"/>
      <c r="F138" s="66"/>
      <c r="G138" s="66"/>
      <c r="H138" s="66"/>
      <c r="I138" s="66"/>
      <c r="J138" s="66"/>
      <c r="K138" s="82"/>
      <c r="L138" s="82"/>
      <c r="M138" s="82"/>
      <c r="N138" s="82"/>
      <c r="O138" s="82"/>
      <c r="P138" s="82"/>
      <c r="Q138" s="82"/>
      <c r="R138" s="82"/>
      <c r="S138" s="82"/>
      <c r="T138" s="82"/>
      <c r="U138" s="82"/>
      <c r="V138" s="82"/>
      <c r="W138" s="83"/>
    </row>
    <row r="139" spans="2:23" x14ac:dyDescent="0.25">
      <c r="B139" s="84"/>
      <c r="C139" s="66"/>
      <c r="D139" s="66"/>
      <c r="E139" s="66"/>
      <c r="F139" s="66"/>
      <c r="G139" s="66"/>
      <c r="H139" s="66"/>
      <c r="I139" s="66"/>
      <c r="J139" s="66"/>
      <c r="K139" s="82"/>
      <c r="L139" s="82"/>
      <c r="M139" s="82"/>
      <c r="N139" s="82"/>
      <c r="O139" s="82"/>
      <c r="P139" s="82"/>
      <c r="Q139" s="82"/>
      <c r="R139" s="82"/>
      <c r="S139" s="82"/>
      <c r="T139" s="82"/>
      <c r="U139" s="82"/>
      <c r="V139" s="82"/>
      <c r="W139" s="83"/>
    </row>
    <row r="140" spans="2:23" ht="15.75" thickBot="1" x14ac:dyDescent="0.3">
      <c r="B140" s="85"/>
      <c r="C140" s="86"/>
      <c r="D140" s="86"/>
      <c r="E140" s="86"/>
      <c r="F140" s="86"/>
      <c r="G140" s="86"/>
      <c r="H140" s="86"/>
      <c r="I140" s="86"/>
      <c r="J140" s="86"/>
      <c r="K140" s="87"/>
      <c r="L140" s="87"/>
      <c r="M140" s="87"/>
      <c r="N140" s="87"/>
      <c r="O140" s="87"/>
      <c r="P140" s="87"/>
      <c r="Q140" s="87"/>
      <c r="R140" s="87"/>
      <c r="S140" s="87"/>
      <c r="T140" s="87"/>
      <c r="U140" s="87"/>
      <c r="V140" s="87"/>
      <c r="W140" s="88"/>
    </row>
    <row r="141" spans="2:23" ht="15.75" thickBot="1" x14ac:dyDescent="0.3"/>
    <row r="142" spans="2:23" x14ac:dyDescent="0.25">
      <c r="B142" s="89"/>
      <c r="C142" s="90"/>
      <c r="D142" s="90"/>
      <c r="E142" s="90"/>
      <c r="F142" s="90"/>
      <c r="G142" s="90"/>
      <c r="H142" s="90"/>
      <c r="I142" s="90"/>
      <c r="J142" s="90"/>
      <c r="K142" s="79"/>
      <c r="L142" s="79"/>
      <c r="M142" s="79"/>
      <c r="N142" s="79"/>
      <c r="O142" s="79"/>
      <c r="P142" s="79"/>
      <c r="Q142" s="79"/>
      <c r="R142" s="79"/>
      <c r="S142" s="79"/>
      <c r="T142" s="79"/>
      <c r="U142" s="79"/>
      <c r="V142" s="79"/>
      <c r="W142" s="80"/>
    </row>
    <row r="143" spans="2:23" x14ac:dyDescent="0.25">
      <c r="B143" s="84"/>
      <c r="C143" s="66"/>
      <c r="D143" s="66"/>
      <c r="E143" s="66"/>
      <c r="F143" s="66"/>
      <c r="G143" s="66"/>
      <c r="H143" s="66"/>
      <c r="I143" s="66"/>
      <c r="J143" s="66"/>
      <c r="K143" s="82"/>
      <c r="L143" s="82"/>
      <c r="M143" s="82"/>
      <c r="N143" s="82"/>
      <c r="O143" s="82"/>
      <c r="P143" s="82"/>
      <c r="Q143" s="82"/>
      <c r="R143" s="82"/>
      <c r="S143" s="82"/>
      <c r="T143" s="82"/>
      <c r="U143" s="82"/>
      <c r="V143" s="82"/>
      <c r="W143" s="83"/>
    </row>
    <row r="144" spans="2:23" x14ac:dyDescent="0.25">
      <c r="B144" s="84"/>
      <c r="C144" s="66"/>
      <c r="D144" s="66"/>
      <c r="E144" s="66"/>
      <c r="F144" s="66"/>
      <c r="G144" s="66"/>
      <c r="H144" s="66"/>
      <c r="I144" s="66"/>
      <c r="J144" s="66"/>
      <c r="K144" s="82"/>
      <c r="L144" s="82"/>
      <c r="M144" s="82"/>
      <c r="N144" s="82"/>
      <c r="O144" s="82"/>
      <c r="P144" s="82"/>
      <c r="Q144" s="82"/>
      <c r="R144" s="82"/>
      <c r="S144" s="82"/>
      <c r="T144" s="82"/>
      <c r="U144" s="82"/>
      <c r="V144" s="82"/>
      <c r="W144" s="83"/>
    </row>
    <row r="145" spans="2:23" x14ac:dyDescent="0.25">
      <c r="B145" s="84"/>
      <c r="C145" s="66"/>
      <c r="D145" s="66"/>
      <c r="E145" s="66"/>
      <c r="F145" s="66"/>
      <c r="G145" s="66"/>
      <c r="H145" s="66"/>
      <c r="I145" s="66"/>
      <c r="J145" s="66"/>
      <c r="K145" s="82"/>
      <c r="L145" s="82"/>
      <c r="M145" s="82"/>
      <c r="N145" s="82"/>
      <c r="O145" s="82"/>
      <c r="P145" s="82"/>
      <c r="Q145" s="82"/>
      <c r="R145" s="82"/>
      <c r="S145" s="82"/>
      <c r="T145" s="82"/>
      <c r="U145" s="82"/>
      <c r="V145" s="82"/>
      <c r="W145" s="83"/>
    </row>
    <row r="146" spans="2:23" x14ac:dyDescent="0.25">
      <c r="B146" s="84"/>
      <c r="C146" s="66"/>
      <c r="D146" s="66"/>
      <c r="E146" s="66"/>
      <c r="F146" s="66"/>
      <c r="G146" s="66"/>
      <c r="H146" s="66"/>
      <c r="I146" s="66"/>
      <c r="J146" s="66"/>
      <c r="K146" s="82"/>
      <c r="L146" s="82"/>
      <c r="M146" s="82"/>
      <c r="N146" s="82"/>
      <c r="O146" s="82"/>
      <c r="P146" s="82"/>
      <c r="Q146" s="82"/>
      <c r="R146" s="82"/>
      <c r="S146" s="82"/>
      <c r="T146" s="82"/>
      <c r="U146" s="82"/>
      <c r="V146" s="82"/>
      <c r="W146" s="83"/>
    </row>
    <row r="147" spans="2:23" x14ac:dyDescent="0.25">
      <c r="B147" s="84"/>
      <c r="C147" s="66"/>
      <c r="D147" s="66"/>
      <c r="E147" s="66"/>
      <c r="F147" s="66"/>
      <c r="G147" s="66"/>
      <c r="H147" s="66"/>
      <c r="I147" s="66"/>
      <c r="J147" s="66"/>
      <c r="K147" s="82"/>
      <c r="L147" s="82"/>
      <c r="M147" s="82"/>
      <c r="N147" s="82"/>
      <c r="O147" s="82"/>
      <c r="P147" s="82"/>
      <c r="Q147" s="82"/>
      <c r="R147" s="82"/>
      <c r="S147" s="82"/>
      <c r="T147" s="82"/>
      <c r="U147" s="82"/>
      <c r="V147" s="82"/>
      <c r="W147" s="83"/>
    </row>
    <row r="148" spans="2:23" x14ac:dyDescent="0.25">
      <c r="B148" s="84"/>
      <c r="C148" s="66"/>
      <c r="D148" s="66"/>
      <c r="E148" s="66"/>
      <c r="F148" s="66"/>
      <c r="G148" s="66"/>
      <c r="H148" s="66"/>
      <c r="I148" s="66"/>
      <c r="J148" s="66"/>
      <c r="K148" s="82"/>
      <c r="L148" s="82"/>
      <c r="M148" s="82"/>
      <c r="N148" s="82"/>
      <c r="O148" s="82"/>
      <c r="P148" s="82"/>
      <c r="Q148" s="82"/>
      <c r="R148" s="82"/>
      <c r="S148" s="82"/>
      <c r="T148" s="82"/>
      <c r="U148" s="82"/>
      <c r="V148" s="82"/>
      <c r="W148" s="83"/>
    </row>
    <row r="149" spans="2:23" x14ac:dyDescent="0.25">
      <c r="B149" s="84"/>
      <c r="C149" s="66"/>
      <c r="D149" s="66"/>
      <c r="E149" s="66"/>
      <c r="F149" s="66"/>
      <c r="G149" s="66"/>
      <c r="H149" s="66"/>
      <c r="I149" s="66"/>
      <c r="J149" s="66"/>
      <c r="K149" s="82"/>
      <c r="L149" s="82"/>
      <c r="M149" s="82"/>
      <c r="N149" s="82"/>
      <c r="O149" s="82"/>
      <c r="P149" s="82"/>
      <c r="Q149" s="82"/>
      <c r="R149" s="82"/>
      <c r="S149" s="82"/>
      <c r="T149" s="82"/>
      <c r="U149" s="82"/>
      <c r="V149" s="82"/>
      <c r="W149" s="83"/>
    </row>
    <row r="150" spans="2:23" x14ac:dyDescent="0.25">
      <c r="B150" s="84"/>
      <c r="C150" s="66"/>
      <c r="D150" s="66"/>
      <c r="E150" s="66"/>
      <c r="F150" s="66"/>
      <c r="G150" s="66"/>
      <c r="H150" s="66"/>
      <c r="I150" s="66"/>
      <c r="J150" s="66"/>
      <c r="K150" s="82"/>
      <c r="L150" s="82"/>
      <c r="M150" s="82"/>
      <c r="N150" s="82"/>
      <c r="O150" s="82"/>
      <c r="P150" s="82"/>
      <c r="Q150" s="82"/>
      <c r="R150" s="82"/>
      <c r="S150" s="82"/>
      <c r="T150" s="82"/>
      <c r="U150" s="82"/>
      <c r="V150" s="82"/>
      <c r="W150" s="83"/>
    </row>
    <row r="151" spans="2:23" x14ac:dyDescent="0.25">
      <c r="B151" s="84"/>
      <c r="C151" s="66"/>
      <c r="D151" s="66"/>
      <c r="E151" s="66"/>
      <c r="F151" s="66"/>
      <c r="G151" s="66"/>
      <c r="H151" s="66"/>
      <c r="I151" s="66"/>
      <c r="J151" s="66"/>
      <c r="K151" s="82"/>
      <c r="L151" s="82"/>
      <c r="M151" s="82"/>
      <c r="N151" s="82"/>
      <c r="O151" s="82"/>
      <c r="P151" s="82"/>
      <c r="Q151" s="82"/>
      <c r="R151" s="82"/>
      <c r="S151" s="82"/>
      <c r="T151" s="82"/>
      <c r="U151" s="82"/>
      <c r="V151" s="82"/>
      <c r="W151" s="83"/>
    </row>
    <row r="152" spans="2:23" x14ac:dyDescent="0.25">
      <c r="B152" s="84"/>
      <c r="C152" s="66"/>
      <c r="D152" s="66"/>
      <c r="E152" s="66"/>
      <c r="F152" s="66"/>
      <c r="G152" s="66"/>
      <c r="H152" s="66"/>
      <c r="I152" s="66"/>
      <c r="J152" s="66"/>
      <c r="K152" s="82"/>
      <c r="L152" s="82"/>
      <c r="M152" s="82"/>
      <c r="N152" s="82"/>
      <c r="O152" s="82"/>
      <c r="P152" s="82"/>
      <c r="Q152" s="82"/>
      <c r="R152" s="82"/>
      <c r="S152" s="82"/>
      <c r="T152" s="82"/>
      <c r="U152" s="82"/>
      <c r="V152" s="82"/>
      <c r="W152" s="83"/>
    </row>
    <row r="153" spans="2:23" x14ac:dyDescent="0.25">
      <c r="B153" s="84"/>
      <c r="C153" s="66"/>
      <c r="D153" s="66"/>
      <c r="E153" s="66"/>
      <c r="F153" s="66"/>
      <c r="G153" s="66"/>
      <c r="H153" s="66"/>
      <c r="I153" s="66"/>
      <c r="J153" s="66"/>
      <c r="K153" s="82"/>
      <c r="L153" s="82"/>
      <c r="M153" s="82"/>
      <c r="N153" s="82"/>
      <c r="O153" s="82"/>
      <c r="P153" s="82"/>
      <c r="Q153" s="82"/>
      <c r="R153" s="82"/>
      <c r="S153" s="82"/>
      <c r="T153" s="82"/>
      <c r="U153" s="82"/>
      <c r="V153" s="82"/>
      <c r="W153" s="83"/>
    </row>
    <row r="154" spans="2:23" x14ac:dyDescent="0.25">
      <c r="B154" s="84"/>
      <c r="C154" s="66"/>
      <c r="D154" s="66"/>
      <c r="E154" s="66"/>
      <c r="F154" s="66"/>
      <c r="G154" s="66"/>
      <c r="H154" s="66"/>
      <c r="I154" s="66"/>
      <c r="J154" s="66"/>
      <c r="K154" s="82"/>
      <c r="L154" s="82"/>
      <c r="M154" s="82"/>
      <c r="N154" s="82"/>
      <c r="O154" s="82"/>
      <c r="P154" s="82"/>
      <c r="Q154" s="82"/>
      <c r="R154" s="82"/>
      <c r="S154" s="82"/>
      <c r="T154" s="82"/>
      <c r="U154" s="82"/>
      <c r="V154" s="82"/>
      <c r="W154" s="83"/>
    </row>
    <row r="155" spans="2:23" x14ac:dyDescent="0.25">
      <c r="B155" s="84"/>
      <c r="C155" s="66"/>
      <c r="D155" s="66"/>
      <c r="E155" s="66"/>
      <c r="F155" s="66"/>
      <c r="G155" s="66"/>
      <c r="H155" s="66"/>
      <c r="I155" s="66"/>
      <c r="J155" s="66"/>
      <c r="K155" s="82"/>
      <c r="L155" s="82"/>
      <c r="M155" s="82"/>
      <c r="N155" s="82"/>
      <c r="O155" s="82"/>
      <c r="P155" s="82"/>
      <c r="Q155" s="82"/>
      <c r="R155" s="82"/>
      <c r="S155" s="82"/>
      <c r="T155" s="82"/>
      <c r="U155" s="82"/>
      <c r="V155" s="82"/>
      <c r="W155" s="83"/>
    </row>
    <row r="156" spans="2:23" x14ac:dyDescent="0.25">
      <c r="B156" s="84"/>
      <c r="C156" s="66"/>
      <c r="D156" s="66"/>
      <c r="E156" s="66"/>
      <c r="F156" s="66"/>
      <c r="G156" s="66"/>
      <c r="H156" s="66"/>
      <c r="I156" s="66"/>
      <c r="J156" s="66"/>
      <c r="K156" s="82"/>
      <c r="L156" s="82"/>
      <c r="M156" s="82"/>
      <c r="N156" s="82"/>
      <c r="O156" s="82"/>
      <c r="P156" s="82"/>
      <c r="Q156" s="82"/>
      <c r="R156" s="82"/>
      <c r="S156" s="82"/>
      <c r="T156" s="82"/>
      <c r="U156" s="82"/>
      <c r="V156" s="82"/>
      <c r="W156" s="83"/>
    </row>
    <row r="157" spans="2:23" x14ac:dyDescent="0.25">
      <c r="B157" s="84"/>
      <c r="C157" s="66"/>
      <c r="D157" s="66"/>
      <c r="E157" s="66"/>
      <c r="F157" s="66"/>
      <c r="G157" s="66"/>
      <c r="H157" s="66"/>
      <c r="I157" s="66"/>
      <c r="J157" s="66"/>
      <c r="K157" s="82"/>
      <c r="L157" s="82"/>
      <c r="M157" s="82"/>
      <c r="N157" s="82"/>
      <c r="O157" s="82"/>
      <c r="P157" s="82"/>
      <c r="Q157" s="82"/>
      <c r="R157" s="82"/>
      <c r="S157" s="82"/>
      <c r="T157" s="82"/>
      <c r="U157" s="82"/>
      <c r="V157" s="82"/>
      <c r="W157" s="83"/>
    </row>
    <row r="158" spans="2:23" x14ac:dyDescent="0.25">
      <c r="B158" s="84"/>
      <c r="C158" s="66"/>
      <c r="D158" s="66"/>
      <c r="E158" s="66"/>
      <c r="F158" s="66"/>
      <c r="G158" s="66"/>
      <c r="H158" s="66"/>
      <c r="I158" s="66"/>
      <c r="J158" s="66"/>
      <c r="K158" s="82"/>
      <c r="L158" s="82"/>
      <c r="M158" s="82"/>
      <c r="N158" s="82"/>
      <c r="O158" s="82"/>
      <c r="P158" s="82"/>
      <c r="Q158" s="82"/>
      <c r="R158" s="82"/>
      <c r="S158" s="82"/>
      <c r="T158" s="82"/>
      <c r="U158" s="82"/>
      <c r="V158" s="82"/>
      <c r="W158" s="83"/>
    </row>
    <row r="159" spans="2:23" x14ac:dyDescent="0.25">
      <c r="B159" s="84"/>
      <c r="C159" s="66"/>
      <c r="D159" s="66"/>
      <c r="E159" s="66"/>
      <c r="F159" s="66"/>
      <c r="G159" s="66"/>
      <c r="H159" s="66"/>
      <c r="I159" s="66"/>
      <c r="J159" s="66"/>
      <c r="K159" s="82"/>
      <c r="L159" s="82"/>
      <c r="M159" s="82"/>
      <c r="N159" s="82"/>
      <c r="O159" s="82"/>
      <c r="P159" s="82"/>
      <c r="Q159" s="82"/>
      <c r="R159" s="82"/>
      <c r="S159" s="82"/>
      <c r="T159" s="82"/>
      <c r="U159" s="82"/>
      <c r="V159" s="82"/>
      <c r="W159" s="83"/>
    </row>
    <row r="160" spans="2:23" x14ac:dyDescent="0.25">
      <c r="B160" s="84"/>
      <c r="C160" s="66"/>
      <c r="D160" s="66"/>
      <c r="E160" s="66"/>
      <c r="F160" s="66"/>
      <c r="G160" s="66"/>
      <c r="H160" s="66"/>
      <c r="I160" s="66"/>
      <c r="J160" s="66"/>
      <c r="K160" s="82"/>
      <c r="L160" s="82"/>
      <c r="M160" s="82"/>
      <c r="N160" s="82"/>
      <c r="O160" s="82"/>
      <c r="P160" s="82"/>
      <c r="Q160" s="82"/>
      <c r="R160" s="82"/>
      <c r="S160" s="82"/>
      <c r="T160" s="82"/>
      <c r="U160" s="82"/>
      <c r="V160" s="82"/>
      <c r="W160" s="83"/>
    </row>
    <row r="161" spans="2:23" x14ac:dyDescent="0.25">
      <c r="B161" s="84"/>
      <c r="C161" s="66"/>
      <c r="D161" s="66"/>
      <c r="E161" s="66"/>
      <c r="F161" s="66"/>
      <c r="G161" s="66"/>
      <c r="H161" s="66"/>
      <c r="I161" s="66"/>
      <c r="J161" s="66"/>
      <c r="K161" s="82"/>
      <c r="L161" s="82"/>
      <c r="M161" s="82"/>
      <c r="N161" s="82"/>
      <c r="O161" s="82"/>
      <c r="P161" s="82"/>
      <c r="Q161" s="82"/>
      <c r="R161" s="82"/>
      <c r="S161" s="82"/>
      <c r="T161" s="82"/>
      <c r="U161" s="82"/>
      <c r="V161" s="82"/>
      <c r="W161" s="83"/>
    </row>
    <row r="162" spans="2:23" x14ac:dyDescent="0.25">
      <c r="B162" s="84"/>
      <c r="C162" s="66"/>
      <c r="D162" s="66"/>
      <c r="E162" s="66"/>
      <c r="F162" s="66"/>
      <c r="G162" s="66"/>
      <c r="H162" s="66"/>
      <c r="I162" s="66"/>
      <c r="J162" s="66"/>
      <c r="K162" s="82"/>
      <c r="L162" s="82"/>
      <c r="M162" s="82"/>
      <c r="N162" s="82"/>
      <c r="O162" s="82"/>
      <c r="P162" s="82"/>
      <c r="Q162" s="82"/>
      <c r="R162" s="82"/>
      <c r="S162" s="82"/>
      <c r="T162" s="82"/>
      <c r="U162" s="82"/>
      <c r="V162" s="82"/>
      <c r="W162" s="83"/>
    </row>
    <row r="163" spans="2:23" x14ac:dyDescent="0.25">
      <c r="B163" s="84"/>
      <c r="C163" s="66"/>
      <c r="D163" s="66"/>
      <c r="E163" s="66"/>
      <c r="F163" s="66"/>
      <c r="G163" s="66"/>
      <c r="H163" s="66"/>
      <c r="I163" s="66"/>
      <c r="J163" s="66"/>
      <c r="K163" s="82"/>
      <c r="L163" s="82"/>
      <c r="M163" s="82"/>
      <c r="N163" s="82"/>
      <c r="O163" s="82"/>
      <c r="P163" s="82"/>
      <c r="Q163" s="82"/>
      <c r="R163" s="82"/>
      <c r="S163" s="82"/>
      <c r="T163" s="82"/>
      <c r="U163" s="82"/>
      <c r="V163" s="82"/>
      <c r="W163" s="83"/>
    </row>
    <row r="164" spans="2:23" x14ac:dyDescent="0.25">
      <c r="B164" s="84"/>
      <c r="C164" s="66"/>
      <c r="D164" s="66"/>
      <c r="E164" s="66"/>
      <c r="F164" s="66"/>
      <c r="G164" s="66"/>
      <c r="H164" s="66"/>
      <c r="I164" s="66"/>
      <c r="J164" s="66"/>
      <c r="K164" s="82"/>
      <c r="L164" s="82"/>
      <c r="M164" s="82"/>
      <c r="N164" s="82"/>
      <c r="O164" s="82"/>
      <c r="P164" s="82"/>
      <c r="Q164" s="82"/>
      <c r="R164" s="82"/>
      <c r="S164" s="82"/>
      <c r="T164" s="82"/>
      <c r="U164" s="82"/>
      <c r="V164" s="82"/>
      <c r="W164" s="83"/>
    </row>
    <row r="165" spans="2:23" x14ac:dyDescent="0.25">
      <c r="B165" s="84"/>
      <c r="C165" s="66"/>
      <c r="D165" s="66"/>
      <c r="E165" s="66"/>
      <c r="F165" s="66"/>
      <c r="G165" s="66"/>
      <c r="H165" s="66"/>
      <c r="I165" s="66"/>
      <c r="J165" s="66"/>
      <c r="K165" s="82"/>
      <c r="L165" s="82"/>
      <c r="M165" s="82"/>
      <c r="N165" s="82"/>
      <c r="O165" s="82"/>
      <c r="P165" s="82"/>
      <c r="Q165" s="82"/>
      <c r="R165" s="82"/>
      <c r="S165" s="82"/>
      <c r="T165" s="82"/>
      <c r="U165" s="82"/>
      <c r="V165" s="82"/>
      <c r="W165" s="83"/>
    </row>
    <row r="166" spans="2:23" x14ac:dyDescent="0.25">
      <c r="B166" s="84"/>
      <c r="C166" s="66"/>
      <c r="D166" s="66"/>
      <c r="E166" s="66"/>
      <c r="F166" s="66"/>
      <c r="G166" s="66"/>
      <c r="H166" s="66"/>
      <c r="I166" s="66"/>
      <c r="J166" s="66"/>
      <c r="K166" s="82"/>
      <c r="L166" s="82"/>
      <c r="M166" s="82"/>
      <c r="N166" s="82"/>
      <c r="O166" s="82"/>
      <c r="P166" s="82"/>
      <c r="Q166" s="82"/>
      <c r="R166" s="82"/>
      <c r="S166" s="82"/>
      <c r="T166" s="82"/>
      <c r="U166" s="82"/>
      <c r="V166" s="82"/>
      <c r="W166" s="83"/>
    </row>
    <row r="167" spans="2:23" x14ac:dyDescent="0.25">
      <c r="B167" s="84"/>
      <c r="C167" s="66"/>
      <c r="D167" s="66"/>
      <c r="E167" s="66"/>
      <c r="F167" s="66"/>
      <c r="G167" s="66"/>
      <c r="H167" s="66"/>
      <c r="I167" s="66"/>
      <c r="J167" s="66"/>
      <c r="K167" s="82"/>
      <c r="L167" s="82"/>
      <c r="M167" s="82"/>
      <c r="N167" s="82"/>
      <c r="O167" s="82"/>
      <c r="P167" s="82"/>
      <c r="Q167" s="82"/>
      <c r="R167" s="82"/>
      <c r="S167" s="82"/>
      <c r="T167" s="82"/>
      <c r="U167" s="82"/>
      <c r="V167" s="82"/>
      <c r="W167" s="83"/>
    </row>
    <row r="168" spans="2:23" x14ac:dyDescent="0.25">
      <c r="B168" s="84"/>
      <c r="C168" s="66"/>
      <c r="D168" s="66"/>
      <c r="E168" s="66"/>
      <c r="F168" s="66"/>
      <c r="G168" s="66"/>
      <c r="H168" s="66"/>
      <c r="I168" s="66"/>
      <c r="J168" s="66"/>
      <c r="K168" s="82"/>
      <c r="L168" s="82"/>
      <c r="M168" s="82"/>
      <c r="N168" s="82"/>
      <c r="O168" s="82"/>
      <c r="P168" s="82"/>
      <c r="Q168" s="82"/>
      <c r="R168" s="82"/>
      <c r="S168" s="82"/>
      <c r="T168" s="82"/>
      <c r="U168" s="82"/>
      <c r="V168" s="82"/>
      <c r="W168" s="83"/>
    </row>
    <row r="169" spans="2:23" x14ac:dyDescent="0.25">
      <c r="B169" s="84"/>
      <c r="C169" s="66"/>
      <c r="D169" s="66"/>
      <c r="E169" s="66"/>
      <c r="F169" s="66"/>
      <c r="G169" s="66"/>
      <c r="H169" s="66"/>
      <c r="I169" s="66"/>
      <c r="J169" s="66"/>
      <c r="K169" s="82"/>
      <c r="L169" s="82"/>
      <c r="M169" s="82"/>
      <c r="N169" s="82"/>
      <c r="O169" s="82"/>
      <c r="P169" s="82"/>
      <c r="Q169" s="82"/>
      <c r="R169" s="82"/>
      <c r="S169" s="82"/>
      <c r="T169" s="82"/>
      <c r="U169" s="82"/>
      <c r="V169" s="82"/>
      <c r="W169" s="83"/>
    </row>
    <row r="170" spans="2:23" x14ac:dyDescent="0.25">
      <c r="B170" s="84"/>
      <c r="C170" s="66"/>
      <c r="D170" s="66"/>
      <c r="E170" s="66"/>
      <c r="F170" s="66"/>
      <c r="G170" s="66"/>
      <c r="H170" s="66"/>
      <c r="I170" s="66"/>
      <c r="J170" s="66"/>
      <c r="K170" s="82"/>
      <c r="L170" s="82"/>
      <c r="M170" s="82"/>
      <c r="N170" s="82"/>
      <c r="O170" s="82"/>
      <c r="P170" s="82"/>
      <c r="Q170" s="82"/>
      <c r="R170" s="82"/>
      <c r="S170" s="82"/>
      <c r="T170" s="82"/>
      <c r="U170" s="82"/>
      <c r="V170" s="82"/>
      <c r="W170" s="83"/>
    </row>
    <row r="171" spans="2:23" x14ac:dyDescent="0.25">
      <c r="B171" s="84"/>
      <c r="C171" s="66"/>
      <c r="D171" s="66"/>
      <c r="E171" s="66"/>
      <c r="F171" s="66"/>
      <c r="G171" s="66"/>
      <c r="H171" s="66"/>
      <c r="I171" s="66"/>
      <c r="J171" s="66"/>
      <c r="K171" s="82"/>
      <c r="L171" s="82"/>
      <c r="M171" s="82"/>
      <c r="N171" s="82"/>
      <c r="O171" s="82"/>
      <c r="P171" s="82"/>
      <c r="Q171" s="82"/>
      <c r="R171" s="82"/>
      <c r="S171" s="82"/>
      <c r="T171" s="82"/>
      <c r="U171" s="82"/>
      <c r="V171" s="82"/>
      <c r="W171" s="83"/>
    </row>
    <row r="172" spans="2:23" ht="15.75" thickBot="1" x14ac:dyDescent="0.3">
      <c r="B172" s="85"/>
      <c r="C172" s="86"/>
      <c r="D172" s="86"/>
      <c r="E172" s="86"/>
      <c r="F172" s="86"/>
      <c r="G172" s="86"/>
      <c r="H172" s="86"/>
      <c r="I172" s="86"/>
      <c r="J172" s="86"/>
      <c r="K172" s="87"/>
      <c r="L172" s="87"/>
      <c r="M172" s="87"/>
      <c r="N172" s="87"/>
      <c r="O172" s="87"/>
      <c r="P172" s="87"/>
      <c r="Q172" s="87"/>
      <c r="R172" s="87"/>
      <c r="S172" s="87"/>
      <c r="T172" s="87"/>
      <c r="U172" s="87"/>
      <c r="V172" s="87"/>
      <c r="W172" s="88"/>
    </row>
    <row r="173" spans="2:23" ht="15.75" thickBot="1" x14ac:dyDescent="0.3"/>
    <row r="174" spans="2:23" x14ac:dyDescent="0.25">
      <c r="B174" s="89"/>
      <c r="C174" s="90"/>
      <c r="D174" s="90"/>
      <c r="E174" s="90"/>
      <c r="F174" s="90"/>
      <c r="G174" s="90"/>
      <c r="H174" s="90"/>
      <c r="I174" s="90"/>
      <c r="J174" s="90"/>
      <c r="K174" s="79"/>
      <c r="L174" s="79"/>
      <c r="M174" s="79"/>
      <c r="N174" s="79"/>
      <c r="O174" s="79"/>
      <c r="P174" s="79"/>
      <c r="Q174" s="79"/>
      <c r="R174" s="79"/>
      <c r="S174" s="79"/>
      <c r="T174" s="79"/>
      <c r="U174" s="79"/>
      <c r="V174" s="79"/>
      <c r="W174" s="80"/>
    </row>
    <row r="175" spans="2:23" x14ac:dyDescent="0.25">
      <c r="B175" s="84"/>
      <c r="C175" s="66"/>
      <c r="D175" s="66"/>
      <c r="E175" s="66"/>
      <c r="F175" s="66"/>
      <c r="G175" s="66"/>
      <c r="H175" s="66"/>
      <c r="I175" s="66"/>
      <c r="J175" s="66"/>
      <c r="K175" s="82"/>
      <c r="L175" s="82"/>
      <c r="M175" s="82"/>
      <c r="N175" s="82"/>
      <c r="O175" s="82"/>
      <c r="P175" s="82"/>
      <c r="Q175" s="82"/>
      <c r="R175" s="82"/>
      <c r="S175" s="82"/>
      <c r="T175" s="82"/>
      <c r="U175" s="82"/>
      <c r="V175" s="82"/>
      <c r="W175" s="83"/>
    </row>
    <row r="176" spans="2:23" x14ac:dyDescent="0.25">
      <c r="B176" s="84"/>
      <c r="C176" s="66"/>
      <c r="D176" s="66"/>
      <c r="E176" s="66"/>
      <c r="F176" s="66"/>
      <c r="G176" s="66"/>
      <c r="H176" s="66"/>
      <c r="I176" s="66"/>
      <c r="J176" s="66"/>
      <c r="K176" s="82"/>
      <c r="L176" s="82"/>
      <c r="M176" s="82"/>
      <c r="N176" s="82"/>
      <c r="O176" s="82"/>
      <c r="P176" s="82"/>
      <c r="Q176" s="82"/>
      <c r="R176" s="82"/>
      <c r="S176" s="82"/>
      <c r="T176" s="82"/>
      <c r="U176" s="82"/>
      <c r="V176" s="82"/>
      <c r="W176" s="83"/>
    </row>
    <row r="177" spans="2:23" x14ac:dyDescent="0.25">
      <c r="B177" s="84"/>
      <c r="C177" s="66"/>
      <c r="D177" s="66"/>
      <c r="E177" s="66"/>
      <c r="F177" s="66"/>
      <c r="G177" s="66"/>
      <c r="H177" s="66"/>
      <c r="I177" s="66"/>
      <c r="J177" s="66"/>
      <c r="K177" s="82"/>
      <c r="L177" s="82"/>
      <c r="M177" s="82"/>
      <c r="N177" s="82"/>
      <c r="O177" s="82"/>
      <c r="P177" s="82"/>
      <c r="Q177" s="82"/>
      <c r="R177" s="82"/>
      <c r="S177" s="82"/>
      <c r="T177" s="82"/>
      <c r="U177" s="82"/>
      <c r="V177" s="82"/>
      <c r="W177" s="83"/>
    </row>
    <row r="178" spans="2:23" x14ac:dyDescent="0.25">
      <c r="B178" s="84"/>
      <c r="C178" s="66"/>
      <c r="D178" s="66"/>
      <c r="E178" s="66"/>
      <c r="F178" s="66"/>
      <c r="G178" s="66"/>
      <c r="H178" s="66"/>
      <c r="I178" s="66"/>
      <c r="J178" s="66"/>
      <c r="K178" s="82"/>
      <c r="L178" s="82"/>
      <c r="M178" s="82"/>
      <c r="N178" s="82"/>
      <c r="O178" s="82"/>
      <c r="P178" s="82"/>
      <c r="Q178" s="82"/>
      <c r="R178" s="82"/>
      <c r="S178" s="82"/>
      <c r="T178" s="82"/>
      <c r="U178" s="82"/>
      <c r="V178" s="82"/>
      <c r="W178" s="83"/>
    </row>
    <row r="179" spans="2:23" x14ac:dyDescent="0.25">
      <c r="B179" s="84"/>
      <c r="C179" s="66"/>
      <c r="D179" s="66"/>
      <c r="E179" s="66"/>
      <c r="F179" s="66"/>
      <c r="G179" s="66"/>
      <c r="H179" s="66"/>
      <c r="I179" s="66"/>
      <c r="J179" s="66"/>
      <c r="K179" s="82"/>
      <c r="L179" s="82"/>
      <c r="M179" s="82"/>
      <c r="N179" s="82"/>
      <c r="O179" s="82"/>
      <c r="P179" s="82"/>
      <c r="Q179" s="82"/>
      <c r="R179" s="82"/>
      <c r="S179" s="82"/>
      <c r="T179" s="82"/>
      <c r="U179" s="82"/>
      <c r="V179" s="82"/>
      <c r="W179" s="83"/>
    </row>
    <row r="180" spans="2:23" x14ac:dyDescent="0.25">
      <c r="B180" s="84"/>
      <c r="C180" s="66"/>
      <c r="D180" s="66"/>
      <c r="E180" s="66"/>
      <c r="F180" s="66"/>
      <c r="G180" s="66"/>
      <c r="H180" s="66"/>
      <c r="I180" s="66"/>
      <c r="J180" s="66"/>
      <c r="K180" s="82"/>
      <c r="L180" s="82"/>
      <c r="M180" s="82"/>
      <c r="N180" s="82"/>
      <c r="O180" s="82"/>
      <c r="P180" s="82"/>
      <c r="Q180" s="82"/>
      <c r="R180" s="82"/>
      <c r="S180" s="82"/>
      <c r="T180" s="82"/>
      <c r="U180" s="82"/>
      <c r="V180" s="82"/>
      <c r="W180" s="83"/>
    </row>
    <row r="181" spans="2:23" x14ac:dyDescent="0.25">
      <c r="B181" s="84"/>
      <c r="C181" s="66"/>
      <c r="D181" s="66"/>
      <c r="E181" s="66"/>
      <c r="F181" s="66"/>
      <c r="G181" s="66"/>
      <c r="H181" s="66"/>
      <c r="I181" s="66"/>
      <c r="J181" s="66"/>
      <c r="K181" s="82"/>
      <c r="L181" s="82"/>
      <c r="M181" s="82"/>
      <c r="N181" s="82"/>
      <c r="O181" s="82"/>
      <c r="P181" s="82"/>
      <c r="Q181" s="82"/>
      <c r="R181" s="82"/>
      <c r="S181" s="82"/>
      <c r="T181" s="82"/>
      <c r="U181" s="82"/>
      <c r="V181" s="82"/>
      <c r="W181" s="83"/>
    </row>
    <row r="182" spans="2:23" x14ac:dyDescent="0.25">
      <c r="B182" s="84"/>
      <c r="C182" s="66"/>
      <c r="D182" s="66"/>
      <c r="E182" s="66"/>
      <c r="F182" s="66"/>
      <c r="G182" s="66"/>
      <c r="H182" s="66"/>
      <c r="I182" s="66"/>
      <c r="J182" s="66"/>
      <c r="K182" s="82"/>
      <c r="L182" s="82"/>
      <c r="M182" s="82"/>
      <c r="N182" s="82"/>
      <c r="O182" s="82"/>
      <c r="P182" s="82"/>
      <c r="Q182" s="82"/>
      <c r="R182" s="82"/>
      <c r="S182" s="82"/>
      <c r="T182" s="82"/>
      <c r="U182" s="82"/>
      <c r="V182" s="82"/>
      <c r="W182" s="83"/>
    </row>
    <row r="183" spans="2:23" x14ac:dyDescent="0.25">
      <c r="B183" s="84"/>
      <c r="C183" s="66"/>
      <c r="D183" s="66"/>
      <c r="E183" s="66"/>
      <c r="F183" s="66"/>
      <c r="G183" s="66"/>
      <c r="H183" s="66"/>
      <c r="I183" s="66"/>
      <c r="J183" s="66"/>
      <c r="K183" s="82"/>
      <c r="L183" s="82"/>
      <c r="M183" s="82"/>
      <c r="N183" s="82"/>
      <c r="O183" s="82"/>
      <c r="P183" s="82"/>
      <c r="Q183" s="82"/>
      <c r="R183" s="82"/>
      <c r="S183" s="82"/>
      <c r="T183" s="82"/>
      <c r="U183" s="82"/>
      <c r="V183" s="82"/>
      <c r="W183" s="83"/>
    </row>
    <row r="184" spans="2:23" x14ac:dyDescent="0.25">
      <c r="B184" s="84"/>
      <c r="C184" s="66"/>
      <c r="D184" s="66"/>
      <c r="E184" s="66"/>
      <c r="F184" s="66"/>
      <c r="G184" s="66"/>
      <c r="H184" s="66"/>
      <c r="I184" s="66"/>
      <c r="J184" s="66"/>
      <c r="K184" s="82"/>
      <c r="L184" s="82"/>
      <c r="M184" s="82"/>
      <c r="N184" s="82"/>
      <c r="O184" s="82"/>
      <c r="P184" s="82"/>
      <c r="Q184" s="82"/>
      <c r="R184" s="82"/>
      <c r="S184" s="82"/>
      <c r="T184" s="82"/>
      <c r="U184" s="82"/>
      <c r="V184" s="82"/>
      <c r="W184" s="83"/>
    </row>
    <row r="185" spans="2:23" x14ac:dyDescent="0.25">
      <c r="B185" s="84"/>
      <c r="C185" s="66"/>
      <c r="D185" s="66"/>
      <c r="E185" s="66"/>
      <c r="F185" s="66"/>
      <c r="G185" s="66"/>
      <c r="H185" s="66"/>
      <c r="I185" s="66"/>
      <c r="J185" s="66"/>
      <c r="K185" s="82"/>
      <c r="L185" s="82"/>
      <c r="M185" s="82"/>
      <c r="N185" s="82"/>
      <c r="O185" s="82"/>
      <c r="P185" s="82"/>
      <c r="Q185" s="82"/>
      <c r="R185" s="82"/>
      <c r="S185" s="82"/>
      <c r="T185" s="82"/>
      <c r="U185" s="82"/>
      <c r="V185" s="82"/>
      <c r="W185" s="83"/>
    </row>
    <row r="186" spans="2:23" x14ac:dyDescent="0.25">
      <c r="B186" s="84"/>
      <c r="C186" s="66"/>
      <c r="D186" s="66"/>
      <c r="E186" s="66"/>
      <c r="F186" s="66"/>
      <c r="G186" s="66"/>
      <c r="H186" s="66"/>
      <c r="I186" s="66"/>
      <c r="J186" s="66"/>
      <c r="K186" s="82"/>
      <c r="L186" s="82"/>
      <c r="M186" s="82"/>
      <c r="N186" s="82"/>
      <c r="O186" s="82"/>
      <c r="P186" s="82"/>
      <c r="Q186" s="82"/>
      <c r="R186" s="82"/>
      <c r="S186" s="82"/>
      <c r="T186" s="82"/>
      <c r="U186" s="82"/>
      <c r="V186" s="82"/>
      <c r="W186" s="83"/>
    </row>
    <row r="187" spans="2:23" x14ac:dyDescent="0.25">
      <c r="B187" s="84"/>
      <c r="C187" s="66"/>
      <c r="D187" s="66"/>
      <c r="E187" s="66"/>
      <c r="F187" s="66"/>
      <c r="G187" s="66"/>
      <c r="H187" s="66"/>
      <c r="I187" s="66"/>
      <c r="J187" s="66"/>
      <c r="K187" s="82"/>
      <c r="L187" s="82"/>
      <c r="M187" s="82"/>
      <c r="N187" s="82"/>
      <c r="O187" s="82"/>
      <c r="P187" s="82"/>
      <c r="Q187" s="82"/>
      <c r="R187" s="82"/>
      <c r="S187" s="82"/>
      <c r="T187" s="82"/>
      <c r="U187" s="82"/>
      <c r="V187" s="82"/>
      <c r="W187" s="83"/>
    </row>
    <row r="188" spans="2:23" x14ac:dyDescent="0.25">
      <c r="B188" s="84"/>
      <c r="C188" s="66"/>
      <c r="D188" s="66"/>
      <c r="E188" s="66"/>
      <c r="F188" s="66"/>
      <c r="G188" s="66"/>
      <c r="H188" s="66"/>
      <c r="I188" s="66"/>
      <c r="J188" s="66"/>
      <c r="K188" s="82"/>
      <c r="L188" s="82"/>
      <c r="M188" s="82"/>
      <c r="N188" s="82"/>
      <c r="O188" s="82"/>
      <c r="P188" s="82"/>
      <c r="Q188" s="82"/>
      <c r="R188" s="82"/>
      <c r="S188" s="82"/>
      <c r="T188" s="82"/>
      <c r="U188" s="82"/>
      <c r="V188" s="82"/>
      <c r="W188" s="83"/>
    </row>
    <row r="189" spans="2:23" x14ac:dyDescent="0.25">
      <c r="B189" s="84"/>
      <c r="C189" s="66"/>
      <c r="D189" s="66"/>
      <c r="E189" s="66"/>
      <c r="F189" s="66"/>
      <c r="G189" s="66"/>
      <c r="H189" s="66"/>
      <c r="I189" s="66"/>
      <c r="J189" s="66"/>
      <c r="K189" s="82"/>
      <c r="L189" s="82"/>
      <c r="M189" s="82"/>
      <c r="N189" s="82"/>
      <c r="O189" s="82"/>
      <c r="P189" s="82"/>
      <c r="Q189" s="82"/>
      <c r="R189" s="82"/>
      <c r="S189" s="82"/>
      <c r="T189" s="82"/>
      <c r="U189" s="82"/>
      <c r="V189" s="82"/>
      <c r="W189" s="83"/>
    </row>
    <row r="190" spans="2:23" x14ac:dyDescent="0.25">
      <c r="B190" s="84"/>
      <c r="C190" s="66"/>
      <c r="D190" s="66"/>
      <c r="E190" s="66"/>
      <c r="F190" s="66"/>
      <c r="G190" s="66"/>
      <c r="H190" s="66"/>
      <c r="I190" s="66"/>
      <c r="J190" s="66"/>
      <c r="K190" s="82"/>
      <c r="L190" s="82"/>
      <c r="M190" s="82"/>
      <c r="N190" s="82"/>
      <c r="O190" s="82"/>
      <c r="P190" s="82"/>
      <c r="Q190" s="82"/>
      <c r="R190" s="82"/>
      <c r="S190" s="82"/>
      <c r="T190" s="82"/>
      <c r="U190" s="82"/>
      <c r="V190" s="82"/>
      <c r="W190" s="83"/>
    </row>
    <row r="191" spans="2:23" x14ac:dyDescent="0.25">
      <c r="B191" s="84"/>
      <c r="C191" s="66"/>
      <c r="D191" s="66"/>
      <c r="E191" s="66"/>
      <c r="F191" s="66"/>
      <c r="G191" s="66"/>
      <c r="H191" s="66"/>
      <c r="I191" s="66"/>
      <c r="J191" s="66"/>
      <c r="K191" s="82"/>
      <c r="L191" s="82"/>
      <c r="M191" s="82"/>
      <c r="N191" s="82"/>
      <c r="O191" s="82"/>
      <c r="P191" s="82"/>
      <c r="Q191" s="82"/>
      <c r="R191" s="82"/>
      <c r="S191" s="82"/>
      <c r="T191" s="82"/>
      <c r="U191" s="82"/>
      <c r="V191" s="82"/>
      <c r="W191" s="83"/>
    </row>
    <row r="192" spans="2:23" x14ac:dyDescent="0.25">
      <c r="B192" s="84"/>
      <c r="C192" s="66"/>
      <c r="D192" s="66"/>
      <c r="E192" s="66"/>
      <c r="F192" s="66"/>
      <c r="G192" s="66"/>
      <c r="H192" s="66"/>
      <c r="I192" s="66"/>
      <c r="J192" s="66"/>
      <c r="K192" s="82"/>
      <c r="L192" s="82"/>
      <c r="M192" s="82"/>
      <c r="N192" s="82"/>
      <c r="O192" s="82"/>
      <c r="P192" s="82"/>
      <c r="Q192" s="82"/>
      <c r="R192" s="82"/>
      <c r="S192" s="82"/>
      <c r="T192" s="82"/>
      <c r="U192" s="82"/>
      <c r="V192" s="82"/>
      <c r="W192" s="83"/>
    </row>
    <row r="193" spans="2:23" x14ac:dyDescent="0.25">
      <c r="B193" s="84"/>
      <c r="C193" s="66"/>
      <c r="D193" s="66"/>
      <c r="E193" s="66"/>
      <c r="F193" s="66"/>
      <c r="G193" s="66"/>
      <c r="H193" s="66"/>
      <c r="I193" s="66"/>
      <c r="J193" s="66"/>
      <c r="K193" s="82"/>
      <c r="L193" s="82"/>
      <c r="M193" s="82"/>
      <c r="N193" s="82"/>
      <c r="O193" s="82"/>
      <c r="P193" s="82"/>
      <c r="Q193" s="82"/>
      <c r="R193" s="82"/>
      <c r="S193" s="82"/>
      <c r="T193" s="82"/>
      <c r="U193" s="82"/>
      <c r="V193" s="82"/>
      <c r="W193" s="83"/>
    </row>
    <row r="194" spans="2:23" x14ac:dyDescent="0.25">
      <c r="B194" s="84"/>
      <c r="C194" s="66"/>
      <c r="D194" s="66"/>
      <c r="E194" s="66"/>
      <c r="F194" s="66"/>
      <c r="G194" s="66"/>
      <c r="H194" s="66"/>
      <c r="I194" s="66"/>
      <c r="J194" s="66"/>
      <c r="K194" s="82"/>
      <c r="L194" s="82"/>
      <c r="M194" s="82"/>
      <c r="N194" s="82"/>
      <c r="O194" s="82"/>
      <c r="P194" s="82"/>
      <c r="Q194" s="82"/>
      <c r="R194" s="82"/>
      <c r="S194" s="82"/>
      <c r="T194" s="82"/>
      <c r="U194" s="82"/>
      <c r="V194" s="82"/>
      <c r="W194" s="83"/>
    </row>
    <row r="195" spans="2:23" x14ac:dyDescent="0.25">
      <c r="B195" s="84"/>
      <c r="C195" s="66"/>
      <c r="D195" s="66"/>
      <c r="E195" s="66"/>
      <c r="F195" s="66"/>
      <c r="G195" s="66"/>
      <c r="H195" s="66"/>
      <c r="I195" s="66"/>
      <c r="J195" s="66"/>
      <c r="K195" s="82"/>
      <c r="L195" s="82"/>
      <c r="M195" s="82"/>
      <c r="N195" s="82"/>
      <c r="O195" s="82"/>
      <c r="P195" s="82"/>
      <c r="Q195" s="82"/>
      <c r="R195" s="82"/>
      <c r="S195" s="82"/>
      <c r="T195" s="82"/>
      <c r="U195" s="82"/>
      <c r="V195" s="82"/>
      <c r="W195" s="83"/>
    </row>
    <row r="196" spans="2:23" x14ac:dyDescent="0.25">
      <c r="B196" s="84"/>
      <c r="C196" s="66"/>
      <c r="D196" s="66"/>
      <c r="E196" s="66"/>
      <c r="F196" s="66"/>
      <c r="G196" s="66"/>
      <c r="H196" s="66"/>
      <c r="I196" s="66"/>
      <c r="J196" s="66"/>
      <c r="K196" s="82"/>
      <c r="L196" s="82"/>
      <c r="M196" s="82"/>
      <c r="N196" s="82"/>
      <c r="O196" s="82"/>
      <c r="P196" s="82"/>
      <c r="Q196" s="82"/>
      <c r="R196" s="82"/>
      <c r="S196" s="82"/>
      <c r="T196" s="82"/>
      <c r="U196" s="82"/>
      <c r="V196" s="82"/>
      <c r="W196" s="83"/>
    </row>
    <row r="197" spans="2:23" x14ac:dyDescent="0.25">
      <c r="B197" s="84"/>
      <c r="C197" s="66"/>
      <c r="D197" s="66"/>
      <c r="E197" s="66"/>
      <c r="F197" s="66"/>
      <c r="G197" s="66"/>
      <c r="H197" s="66"/>
      <c r="I197" s="66"/>
      <c r="J197" s="66"/>
      <c r="K197" s="82"/>
      <c r="L197" s="82"/>
      <c r="M197" s="82"/>
      <c r="N197" s="82"/>
      <c r="O197" s="82"/>
      <c r="P197" s="82"/>
      <c r="Q197" s="82"/>
      <c r="R197" s="82"/>
      <c r="S197" s="82"/>
      <c r="T197" s="82"/>
      <c r="U197" s="82"/>
      <c r="V197" s="82"/>
      <c r="W197" s="83"/>
    </row>
    <row r="198" spans="2:23" x14ac:dyDescent="0.25">
      <c r="B198" s="84"/>
      <c r="C198" s="66"/>
      <c r="D198" s="66"/>
      <c r="E198" s="66"/>
      <c r="F198" s="66"/>
      <c r="G198" s="66"/>
      <c r="H198" s="66"/>
      <c r="I198" s="66"/>
      <c r="J198" s="66"/>
      <c r="K198" s="82"/>
      <c r="L198" s="82"/>
      <c r="M198" s="82"/>
      <c r="N198" s="82"/>
      <c r="O198" s="82"/>
      <c r="P198" s="82"/>
      <c r="Q198" s="82"/>
      <c r="R198" s="82"/>
      <c r="S198" s="82"/>
      <c r="T198" s="82"/>
      <c r="U198" s="82"/>
      <c r="V198" s="82"/>
      <c r="W198" s="83"/>
    </row>
    <row r="199" spans="2:23" x14ac:dyDescent="0.25">
      <c r="B199" s="84"/>
      <c r="C199" s="66"/>
      <c r="D199" s="66"/>
      <c r="E199" s="66"/>
      <c r="F199" s="66"/>
      <c r="G199" s="66"/>
      <c r="H199" s="66"/>
      <c r="I199" s="66"/>
      <c r="J199" s="66"/>
      <c r="K199" s="82"/>
      <c r="L199" s="82"/>
      <c r="M199" s="82"/>
      <c r="N199" s="82"/>
      <c r="O199" s="82"/>
      <c r="P199" s="82"/>
      <c r="Q199" s="82"/>
      <c r="R199" s="82"/>
      <c r="S199" s="82"/>
      <c r="T199" s="82"/>
      <c r="U199" s="82"/>
      <c r="V199" s="82"/>
      <c r="W199" s="83"/>
    </row>
    <row r="200" spans="2:23" x14ac:dyDescent="0.25">
      <c r="B200" s="84"/>
      <c r="C200" s="66"/>
      <c r="D200" s="66"/>
      <c r="E200" s="66"/>
      <c r="F200" s="66"/>
      <c r="G200" s="66"/>
      <c r="H200" s="66"/>
      <c r="I200" s="66"/>
      <c r="J200" s="66"/>
      <c r="K200" s="82"/>
      <c r="L200" s="82"/>
      <c r="M200" s="82"/>
      <c r="N200" s="82"/>
      <c r="O200" s="82"/>
      <c r="P200" s="82"/>
      <c r="Q200" s="82"/>
      <c r="R200" s="82"/>
      <c r="S200" s="82"/>
      <c r="T200" s="82"/>
      <c r="U200" s="82"/>
      <c r="V200" s="82"/>
      <c r="W200" s="83"/>
    </row>
    <row r="201" spans="2:23" x14ac:dyDescent="0.25">
      <c r="B201" s="84"/>
      <c r="C201" s="66"/>
      <c r="D201" s="66"/>
      <c r="E201" s="66"/>
      <c r="F201" s="66"/>
      <c r="G201" s="66"/>
      <c r="H201" s="66"/>
      <c r="I201" s="66"/>
      <c r="J201" s="66"/>
      <c r="K201" s="82"/>
      <c r="L201" s="82"/>
      <c r="M201" s="82"/>
      <c r="N201" s="82"/>
      <c r="O201" s="82"/>
      <c r="P201" s="82"/>
      <c r="Q201" s="82"/>
      <c r="R201" s="82"/>
      <c r="S201" s="82"/>
      <c r="T201" s="82"/>
      <c r="U201" s="82"/>
      <c r="V201" s="82"/>
      <c r="W201" s="83"/>
    </row>
    <row r="202" spans="2:23" x14ac:dyDescent="0.25">
      <c r="B202" s="84"/>
      <c r="C202" s="66"/>
      <c r="D202" s="66"/>
      <c r="E202" s="66"/>
      <c r="F202" s="66"/>
      <c r="G202" s="66"/>
      <c r="H202" s="66"/>
      <c r="I202" s="66"/>
      <c r="J202" s="66"/>
      <c r="K202" s="82"/>
      <c r="L202" s="82"/>
      <c r="M202" s="82"/>
      <c r="N202" s="82"/>
      <c r="O202" s="82"/>
      <c r="P202" s="82"/>
      <c r="Q202" s="82"/>
      <c r="R202" s="82"/>
      <c r="S202" s="82"/>
      <c r="T202" s="82"/>
      <c r="U202" s="82"/>
      <c r="V202" s="82"/>
      <c r="W202" s="83"/>
    </row>
    <row r="203" spans="2:23" x14ac:dyDescent="0.25">
      <c r="B203" s="84"/>
      <c r="C203" s="66"/>
      <c r="D203" s="66"/>
      <c r="E203" s="66"/>
      <c r="F203" s="66"/>
      <c r="G203" s="66"/>
      <c r="H203" s="66"/>
      <c r="I203" s="66"/>
      <c r="J203" s="66"/>
      <c r="K203" s="82"/>
      <c r="L203" s="82"/>
      <c r="M203" s="82"/>
      <c r="N203" s="82"/>
      <c r="O203" s="82"/>
      <c r="P203" s="82"/>
      <c r="Q203" s="82"/>
      <c r="R203" s="82"/>
      <c r="S203" s="82"/>
      <c r="T203" s="82"/>
      <c r="U203" s="82"/>
      <c r="V203" s="82"/>
      <c r="W203" s="83"/>
    </row>
    <row r="204" spans="2:23" ht="15.75" thickBot="1" x14ac:dyDescent="0.3">
      <c r="B204" s="85"/>
      <c r="C204" s="86"/>
      <c r="D204" s="86"/>
      <c r="E204" s="86"/>
      <c r="F204" s="86"/>
      <c r="G204" s="86"/>
      <c r="H204" s="86"/>
      <c r="I204" s="86"/>
      <c r="J204" s="86"/>
      <c r="K204" s="87"/>
      <c r="L204" s="87"/>
      <c r="M204" s="87"/>
      <c r="N204" s="87"/>
      <c r="O204" s="87"/>
      <c r="P204" s="87"/>
      <c r="Q204" s="87"/>
      <c r="R204" s="87"/>
      <c r="S204" s="87"/>
      <c r="T204" s="87"/>
      <c r="U204" s="87"/>
      <c r="V204" s="87"/>
      <c r="W204" s="88"/>
    </row>
    <row r="205" spans="2:23" ht="15.75" thickBot="1" x14ac:dyDescent="0.3"/>
    <row r="206" spans="2:23" x14ac:dyDescent="0.25">
      <c r="B206" s="89"/>
      <c r="C206" s="90"/>
      <c r="D206" s="90"/>
      <c r="E206" s="90"/>
      <c r="F206" s="90"/>
      <c r="G206" s="90"/>
      <c r="H206" s="90"/>
      <c r="I206" s="90"/>
      <c r="J206" s="90"/>
      <c r="K206" s="79"/>
      <c r="L206" s="79"/>
      <c r="M206" s="79"/>
      <c r="N206" s="79"/>
      <c r="O206" s="79"/>
      <c r="P206" s="79"/>
      <c r="Q206" s="79"/>
      <c r="R206" s="79"/>
      <c r="S206" s="79"/>
      <c r="T206" s="79"/>
      <c r="U206" s="79"/>
      <c r="V206" s="79"/>
      <c r="W206" s="80"/>
    </row>
    <row r="207" spans="2:23" x14ac:dyDescent="0.25">
      <c r="B207" s="84"/>
      <c r="C207" s="66"/>
      <c r="D207" s="66"/>
      <c r="E207" s="66"/>
      <c r="F207" s="66"/>
      <c r="G207" s="66"/>
      <c r="H207" s="66"/>
      <c r="I207" s="66"/>
      <c r="J207" s="66"/>
      <c r="K207" s="82"/>
      <c r="L207" s="82"/>
      <c r="M207" s="82"/>
      <c r="N207" s="82"/>
      <c r="O207" s="82"/>
      <c r="P207" s="82"/>
      <c r="Q207" s="82"/>
      <c r="R207" s="82"/>
      <c r="S207" s="82"/>
      <c r="T207" s="82"/>
      <c r="U207" s="82"/>
      <c r="V207" s="82"/>
      <c r="W207" s="83"/>
    </row>
    <row r="208" spans="2:23" x14ac:dyDescent="0.25">
      <c r="B208" s="84"/>
      <c r="C208" s="66"/>
      <c r="D208" s="66"/>
      <c r="E208" s="66"/>
      <c r="F208" s="66"/>
      <c r="G208" s="66"/>
      <c r="H208" s="66"/>
      <c r="I208" s="66"/>
      <c r="J208" s="66"/>
      <c r="K208" s="82"/>
      <c r="L208" s="82"/>
      <c r="M208" s="82"/>
      <c r="N208" s="82"/>
      <c r="O208" s="82"/>
      <c r="P208" s="82"/>
      <c r="Q208" s="82"/>
      <c r="R208" s="82"/>
      <c r="S208" s="82"/>
      <c r="T208" s="82"/>
      <c r="U208" s="82"/>
      <c r="V208" s="82"/>
      <c r="W208" s="83"/>
    </row>
    <row r="209" spans="2:23" x14ac:dyDescent="0.25">
      <c r="B209" s="84"/>
      <c r="C209" s="66"/>
      <c r="D209" s="66"/>
      <c r="E209" s="66"/>
      <c r="F209" s="66"/>
      <c r="G209" s="66"/>
      <c r="H209" s="66"/>
      <c r="I209" s="66"/>
      <c r="J209" s="66"/>
      <c r="K209" s="82"/>
      <c r="L209" s="82"/>
      <c r="M209" s="82"/>
      <c r="N209" s="82"/>
      <c r="O209" s="82"/>
      <c r="P209" s="82"/>
      <c r="Q209" s="82"/>
      <c r="R209" s="82"/>
      <c r="S209" s="82"/>
      <c r="T209" s="82"/>
      <c r="U209" s="82"/>
      <c r="V209" s="82"/>
      <c r="W209" s="83"/>
    </row>
    <row r="210" spans="2:23" x14ac:dyDescent="0.25">
      <c r="B210" s="84"/>
      <c r="C210" s="66"/>
      <c r="D210" s="66"/>
      <c r="E210" s="66"/>
      <c r="F210" s="66"/>
      <c r="G210" s="66"/>
      <c r="H210" s="66"/>
      <c r="I210" s="66"/>
      <c r="J210" s="66"/>
      <c r="K210" s="82"/>
      <c r="L210" s="82"/>
      <c r="M210" s="82"/>
      <c r="N210" s="82"/>
      <c r="O210" s="82"/>
      <c r="P210" s="82"/>
      <c r="Q210" s="82"/>
      <c r="R210" s="82"/>
      <c r="S210" s="82"/>
      <c r="T210" s="82"/>
      <c r="U210" s="82"/>
      <c r="V210" s="82"/>
      <c r="W210" s="83"/>
    </row>
    <row r="211" spans="2:23" x14ac:dyDescent="0.25">
      <c r="B211" s="84"/>
      <c r="C211" s="66"/>
      <c r="D211" s="66"/>
      <c r="E211" s="66"/>
      <c r="F211" s="66"/>
      <c r="G211" s="66"/>
      <c r="H211" s="66"/>
      <c r="I211" s="66"/>
      <c r="J211" s="66"/>
      <c r="K211" s="82"/>
      <c r="L211" s="82"/>
      <c r="M211" s="82"/>
      <c r="N211" s="82"/>
      <c r="O211" s="82"/>
      <c r="P211" s="82"/>
      <c r="Q211" s="82"/>
      <c r="R211" s="82"/>
      <c r="S211" s="82"/>
      <c r="T211" s="82"/>
      <c r="U211" s="82"/>
      <c r="V211" s="82"/>
      <c r="W211" s="83"/>
    </row>
    <row r="212" spans="2:23" x14ac:dyDescent="0.25">
      <c r="B212" s="84"/>
      <c r="C212" s="66"/>
      <c r="D212" s="66"/>
      <c r="E212" s="66"/>
      <c r="F212" s="66"/>
      <c r="G212" s="66"/>
      <c r="H212" s="66"/>
      <c r="I212" s="66"/>
      <c r="J212" s="66"/>
      <c r="K212" s="82"/>
      <c r="L212" s="82"/>
      <c r="M212" s="82"/>
      <c r="N212" s="82"/>
      <c r="O212" s="82"/>
      <c r="P212" s="82"/>
      <c r="Q212" s="82"/>
      <c r="R212" s="82"/>
      <c r="S212" s="82"/>
      <c r="T212" s="82"/>
      <c r="U212" s="82"/>
      <c r="V212" s="82"/>
      <c r="W212" s="83"/>
    </row>
    <row r="213" spans="2:23" x14ac:dyDescent="0.25">
      <c r="B213" s="84"/>
      <c r="C213" s="66"/>
      <c r="D213" s="66"/>
      <c r="E213" s="66"/>
      <c r="F213" s="66"/>
      <c r="G213" s="66"/>
      <c r="H213" s="66"/>
      <c r="I213" s="66"/>
      <c r="J213" s="66"/>
      <c r="K213" s="82"/>
      <c r="L213" s="82"/>
      <c r="M213" s="82"/>
      <c r="N213" s="82"/>
      <c r="O213" s="82"/>
      <c r="P213" s="82"/>
      <c r="Q213" s="82"/>
      <c r="R213" s="82"/>
      <c r="S213" s="82"/>
      <c r="T213" s="82"/>
      <c r="U213" s="82"/>
      <c r="V213" s="82"/>
      <c r="W213" s="83"/>
    </row>
    <row r="214" spans="2:23" x14ac:dyDescent="0.25">
      <c r="B214" s="84"/>
      <c r="C214" s="66"/>
      <c r="D214" s="66"/>
      <c r="E214" s="66"/>
      <c r="F214" s="66"/>
      <c r="G214" s="66"/>
      <c r="H214" s="66"/>
      <c r="I214" s="66"/>
      <c r="J214" s="66"/>
      <c r="K214" s="82"/>
      <c r="L214" s="82"/>
      <c r="M214" s="82"/>
      <c r="N214" s="82"/>
      <c r="O214" s="82"/>
      <c r="P214" s="82"/>
      <c r="Q214" s="82"/>
      <c r="R214" s="82"/>
      <c r="S214" s="82"/>
      <c r="T214" s="82"/>
      <c r="U214" s="82"/>
      <c r="V214" s="82"/>
      <c r="W214" s="83"/>
    </row>
    <row r="215" spans="2:23" x14ac:dyDescent="0.25">
      <c r="B215" s="84"/>
      <c r="C215" s="66"/>
      <c r="D215" s="66"/>
      <c r="E215" s="66"/>
      <c r="F215" s="66"/>
      <c r="G215" s="66"/>
      <c r="H215" s="66"/>
      <c r="I215" s="66"/>
      <c r="J215" s="66"/>
      <c r="K215" s="82"/>
      <c r="L215" s="82"/>
      <c r="M215" s="82"/>
      <c r="N215" s="82"/>
      <c r="O215" s="82"/>
      <c r="P215" s="82"/>
      <c r="Q215" s="82"/>
      <c r="R215" s="82"/>
      <c r="S215" s="82"/>
      <c r="T215" s="82"/>
      <c r="U215" s="82"/>
      <c r="V215" s="82"/>
      <c r="W215" s="83"/>
    </row>
    <row r="216" spans="2:23" x14ac:dyDescent="0.25">
      <c r="B216" s="84"/>
      <c r="C216" s="66"/>
      <c r="D216" s="66"/>
      <c r="E216" s="66"/>
      <c r="F216" s="66"/>
      <c r="G216" s="66"/>
      <c r="H216" s="66"/>
      <c r="I216" s="66"/>
      <c r="J216" s="66"/>
      <c r="K216" s="82"/>
      <c r="L216" s="82"/>
      <c r="M216" s="82"/>
      <c r="N216" s="82"/>
      <c r="O216" s="82"/>
      <c r="P216" s="82"/>
      <c r="Q216" s="82"/>
      <c r="R216" s="82"/>
      <c r="S216" s="82"/>
      <c r="T216" s="82"/>
      <c r="U216" s="82"/>
      <c r="V216" s="82"/>
      <c r="W216" s="83"/>
    </row>
    <row r="217" spans="2:23" x14ac:dyDescent="0.25">
      <c r="B217" s="84"/>
      <c r="C217" s="66"/>
      <c r="D217" s="66"/>
      <c r="E217" s="66"/>
      <c r="F217" s="66"/>
      <c r="G217" s="66"/>
      <c r="H217" s="66"/>
      <c r="I217" s="66"/>
      <c r="J217" s="66"/>
      <c r="K217" s="82"/>
      <c r="L217" s="82"/>
      <c r="M217" s="82"/>
      <c r="N217" s="82"/>
      <c r="O217" s="82"/>
      <c r="P217" s="82"/>
      <c r="Q217" s="82"/>
      <c r="R217" s="82"/>
      <c r="S217" s="82"/>
      <c r="T217" s="82"/>
      <c r="U217" s="82"/>
      <c r="V217" s="82"/>
      <c r="W217" s="83"/>
    </row>
    <row r="218" spans="2:23" x14ac:dyDescent="0.25">
      <c r="B218" s="84"/>
      <c r="C218" s="66"/>
      <c r="D218" s="66"/>
      <c r="E218" s="66"/>
      <c r="F218" s="66"/>
      <c r="G218" s="66"/>
      <c r="H218" s="66"/>
      <c r="I218" s="66"/>
      <c r="J218" s="66"/>
      <c r="K218" s="82"/>
      <c r="L218" s="82"/>
      <c r="M218" s="82"/>
      <c r="N218" s="82"/>
      <c r="O218" s="82"/>
      <c r="P218" s="82"/>
      <c r="Q218" s="82"/>
      <c r="R218" s="82"/>
      <c r="S218" s="82"/>
      <c r="T218" s="82"/>
      <c r="U218" s="82"/>
      <c r="V218" s="82"/>
      <c r="W218" s="83"/>
    </row>
    <row r="219" spans="2:23" x14ac:dyDescent="0.25">
      <c r="B219" s="84"/>
      <c r="C219" s="66"/>
      <c r="D219" s="66"/>
      <c r="E219" s="66"/>
      <c r="F219" s="66"/>
      <c r="G219" s="66"/>
      <c r="H219" s="66"/>
      <c r="I219" s="66"/>
      <c r="J219" s="66"/>
      <c r="K219" s="82"/>
      <c r="L219" s="82"/>
      <c r="M219" s="82"/>
      <c r="N219" s="82"/>
      <c r="O219" s="82"/>
      <c r="P219" s="82"/>
      <c r="Q219" s="82"/>
      <c r="R219" s="82"/>
      <c r="S219" s="82"/>
      <c r="T219" s="82"/>
      <c r="U219" s="82"/>
      <c r="V219" s="82"/>
      <c r="W219" s="83"/>
    </row>
    <row r="220" spans="2:23" x14ac:dyDescent="0.25">
      <c r="B220" s="84"/>
      <c r="C220" s="66"/>
      <c r="D220" s="66"/>
      <c r="E220" s="66"/>
      <c r="F220" s="66"/>
      <c r="G220" s="66"/>
      <c r="H220" s="66"/>
      <c r="I220" s="66"/>
      <c r="J220" s="66"/>
      <c r="K220" s="82"/>
      <c r="L220" s="82"/>
      <c r="M220" s="82"/>
      <c r="N220" s="82"/>
      <c r="O220" s="82"/>
      <c r="P220" s="82"/>
      <c r="Q220" s="82"/>
      <c r="R220" s="82"/>
      <c r="S220" s="82"/>
      <c r="T220" s="82"/>
      <c r="U220" s="82"/>
      <c r="V220" s="82"/>
      <c r="W220" s="83"/>
    </row>
    <row r="221" spans="2:23" x14ac:dyDescent="0.25">
      <c r="B221" s="84"/>
      <c r="C221" s="66"/>
      <c r="D221" s="66"/>
      <c r="E221" s="66"/>
      <c r="F221" s="66"/>
      <c r="G221" s="66"/>
      <c r="H221" s="66"/>
      <c r="I221" s="66"/>
      <c r="J221" s="66"/>
      <c r="K221" s="82"/>
      <c r="L221" s="82"/>
      <c r="M221" s="82"/>
      <c r="N221" s="82"/>
      <c r="O221" s="82"/>
      <c r="P221" s="82"/>
      <c r="Q221" s="82"/>
      <c r="R221" s="82"/>
      <c r="S221" s="82"/>
      <c r="T221" s="82"/>
      <c r="U221" s="82"/>
      <c r="V221" s="82"/>
      <c r="W221" s="83"/>
    </row>
    <row r="222" spans="2:23" x14ac:dyDescent="0.25">
      <c r="B222" s="84"/>
      <c r="C222" s="66"/>
      <c r="D222" s="66"/>
      <c r="E222" s="66"/>
      <c r="F222" s="66"/>
      <c r="G222" s="66"/>
      <c r="H222" s="66"/>
      <c r="I222" s="66"/>
      <c r="J222" s="66"/>
      <c r="K222" s="82"/>
      <c r="L222" s="82"/>
      <c r="M222" s="82"/>
      <c r="N222" s="82"/>
      <c r="O222" s="82"/>
      <c r="P222" s="82"/>
      <c r="Q222" s="82"/>
      <c r="R222" s="82"/>
      <c r="S222" s="82"/>
      <c r="T222" s="82"/>
      <c r="U222" s="82"/>
      <c r="V222" s="82"/>
      <c r="W222" s="83"/>
    </row>
    <row r="223" spans="2:23" x14ac:dyDescent="0.25">
      <c r="B223" s="84"/>
      <c r="C223" s="66"/>
      <c r="D223" s="66"/>
      <c r="E223" s="66"/>
      <c r="F223" s="66"/>
      <c r="G223" s="66"/>
      <c r="H223" s="66"/>
      <c r="I223" s="66"/>
      <c r="J223" s="66"/>
      <c r="K223" s="82"/>
      <c r="L223" s="82"/>
      <c r="M223" s="82"/>
      <c r="N223" s="82"/>
      <c r="O223" s="82"/>
      <c r="P223" s="82"/>
      <c r="Q223" s="82"/>
      <c r="R223" s="82"/>
      <c r="S223" s="82"/>
      <c r="T223" s="82"/>
      <c r="U223" s="82"/>
      <c r="V223" s="82"/>
      <c r="W223" s="83"/>
    </row>
    <row r="224" spans="2:23" x14ac:dyDescent="0.25">
      <c r="B224" s="84"/>
      <c r="C224" s="66"/>
      <c r="D224" s="66"/>
      <c r="E224" s="66"/>
      <c r="F224" s="66"/>
      <c r="G224" s="66"/>
      <c r="H224" s="66"/>
      <c r="I224" s="66"/>
      <c r="J224" s="66"/>
      <c r="K224" s="82"/>
      <c r="L224" s="82"/>
      <c r="M224" s="82"/>
      <c r="N224" s="82"/>
      <c r="O224" s="82"/>
      <c r="P224" s="82"/>
      <c r="Q224" s="82"/>
      <c r="R224" s="82"/>
      <c r="S224" s="82"/>
      <c r="T224" s="82"/>
      <c r="U224" s="82"/>
      <c r="V224" s="82"/>
      <c r="W224" s="83"/>
    </row>
    <row r="225" spans="2:23" x14ac:dyDescent="0.25">
      <c r="B225" s="84"/>
      <c r="C225" s="66"/>
      <c r="D225" s="66"/>
      <c r="E225" s="66"/>
      <c r="F225" s="66"/>
      <c r="G225" s="66"/>
      <c r="H225" s="66"/>
      <c r="I225" s="66"/>
      <c r="J225" s="66"/>
      <c r="K225" s="82"/>
      <c r="L225" s="82"/>
      <c r="M225" s="82"/>
      <c r="N225" s="82"/>
      <c r="O225" s="82"/>
      <c r="P225" s="82"/>
      <c r="Q225" s="82"/>
      <c r="R225" s="82"/>
      <c r="S225" s="82"/>
      <c r="T225" s="82"/>
      <c r="U225" s="82"/>
      <c r="V225" s="82"/>
      <c r="W225" s="83"/>
    </row>
    <row r="226" spans="2:23" x14ac:dyDescent="0.25">
      <c r="B226" s="84"/>
      <c r="C226" s="66"/>
      <c r="D226" s="66"/>
      <c r="E226" s="66"/>
      <c r="F226" s="66"/>
      <c r="G226" s="66"/>
      <c r="H226" s="66"/>
      <c r="I226" s="66"/>
      <c r="J226" s="66"/>
      <c r="K226" s="82"/>
      <c r="L226" s="82"/>
      <c r="M226" s="82"/>
      <c r="N226" s="82"/>
      <c r="O226" s="82"/>
      <c r="P226" s="82"/>
      <c r="Q226" s="82"/>
      <c r="R226" s="82"/>
      <c r="S226" s="82"/>
      <c r="T226" s="82"/>
      <c r="U226" s="82"/>
      <c r="V226" s="82"/>
      <c r="W226" s="83"/>
    </row>
    <row r="227" spans="2:23" x14ac:dyDescent="0.25">
      <c r="B227" s="84"/>
      <c r="C227" s="66"/>
      <c r="D227" s="66"/>
      <c r="E227" s="66"/>
      <c r="F227" s="66"/>
      <c r="G227" s="66"/>
      <c r="H227" s="66"/>
      <c r="I227" s="66"/>
      <c r="J227" s="66"/>
      <c r="K227" s="82"/>
      <c r="L227" s="82"/>
      <c r="M227" s="82"/>
      <c r="N227" s="82"/>
      <c r="O227" s="82"/>
      <c r="P227" s="82"/>
      <c r="Q227" s="82"/>
      <c r="R227" s="82"/>
      <c r="S227" s="82"/>
      <c r="T227" s="82"/>
      <c r="U227" s="82"/>
      <c r="V227" s="82"/>
      <c r="W227" s="83"/>
    </row>
    <row r="228" spans="2:23" x14ac:dyDescent="0.25">
      <c r="B228" s="84"/>
      <c r="C228" s="66"/>
      <c r="D228" s="66"/>
      <c r="E228" s="66"/>
      <c r="F228" s="66"/>
      <c r="G228" s="66"/>
      <c r="H228" s="66"/>
      <c r="I228" s="66"/>
      <c r="J228" s="66"/>
      <c r="K228" s="82"/>
      <c r="L228" s="82"/>
      <c r="M228" s="82"/>
      <c r="N228" s="82"/>
      <c r="O228" s="82"/>
      <c r="P228" s="82"/>
      <c r="Q228" s="82"/>
      <c r="R228" s="82"/>
      <c r="S228" s="82"/>
      <c r="T228" s="82"/>
      <c r="U228" s="82"/>
      <c r="V228" s="82"/>
      <c r="W228" s="83"/>
    </row>
    <row r="229" spans="2:23" x14ac:dyDescent="0.25">
      <c r="B229" s="84"/>
      <c r="C229" s="66"/>
      <c r="D229" s="66"/>
      <c r="E229" s="66"/>
      <c r="F229" s="66"/>
      <c r="G229" s="66"/>
      <c r="H229" s="66"/>
      <c r="I229" s="66"/>
      <c r="J229" s="66"/>
      <c r="K229" s="82"/>
      <c r="L229" s="82"/>
      <c r="M229" s="82"/>
      <c r="N229" s="82"/>
      <c r="O229" s="82"/>
      <c r="P229" s="82"/>
      <c r="Q229" s="82"/>
      <c r="R229" s="82"/>
      <c r="S229" s="82"/>
      <c r="T229" s="82"/>
      <c r="U229" s="82"/>
      <c r="V229" s="82"/>
      <c r="W229" s="83"/>
    </row>
    <row r="230" spans="2:23" x14ac:dyDescent="0.25">
      <c r="B230" s="84"/>
      <c r="C230" s="66"/>
      <c r="D230" s="66"/>
      <c r="E230" s="66"/>
      <c r="F230" s="66"/>
      <c r="G230" s="66"/>
      <c r="H230" s="66"/>
      <c r="I230" s="66"/>
      <c r="J230" s="66"/>
      <c r="K230" s="82"/>
      <c r="L230" s="82"/>
      <c r="M230" s="82"/>
      <c r="N230" s="82"/>
      <c r="O230" s="82"/>
      <c r="P230" s="82"/>
      <c r="Q230" s="82"/>
      <c r="R230" s="82"/>
      <c r="S230" s="82"/>
      <c r="T230" s="82"/>
      <c r="U230" s="82"/>
      <c r="V230" s="82"/>
      <c r="W230" s="83"/>
    </row>
    <row r="231" spans="2:23" x14ac:dyDescent="0.25">
      <c r="B231" s="84"/>
      <c r="C231" s="66"/>
      <c r="D231" s="66"/>
      <c r="E231" s="66"/>
      <c r="F231" s="66"/>
      <c r="G231" s="66"/>
      <c r="H231" s="66"/>
      <c r="I231" s="66"/>
      <c r="J231" s="66"/>
      <c r="K231" s="82"/>
      <c r="L231" s="82"/>
      <c r="M231" s="82"/>
      <c r="N231" s="82"/>
      <c r="O231" s="82"/>
      <c r="P231" s="82"/>
      <c r="Q231" s="82"/>
      <c r="R231" s="82"/>
      <c r="S231" s="82"/>
      <c r="T231" s="82"/>
      <c r="U231" s="82"/>
      <c r="V231" s="82"/>
      <c r="W231" s="83"/>
    </row>
    <row r="232" spans="2:23" x14ac:dyDescent="0.25">
      <c r="B232" s="84"/>
      <c r="C232" s="66"/>
      <c r="D232" s="66"/>
      <c r="E232" s="66"/>
      <c r="F232" s="66"/>
      <c r="G232" s="66"/>
      <c r="H232" s="66"/>
      <c r="I232" s="66"/>
      <c r="J232" s="66"/>
      <c r="K232" s="82"/>
      <c r="L232" s="82"/>
      <c r="M232" s="82"/>
      <c r="N232" s="82"/>
      <c r="O232" s="82"/>
      <c r="P232" s="82"/>
      <c r="Q232" s="82"/>
      <c r="R232" s="82"/>
      <c r="S232" s="82"/>
      <c r="T232" s="82"/>
      <c r="U232" s="82"/>
      <c r="V232" s="82"/>
      <c r="W232" s="83"/>
    </row>
    <row r="233" spans="2:23" x14ac:dyDescent="0.25">
      <c r="B233" s="84"/>
      <c r="C233" s="66"/>
      <c r="D233" s="66"/>
      <c r="E233" s="66"/>
      <c r="F233" s="66"/>
      <c r="G233" s="66"/>
      <c r="H233" s="66"/>
      <c r="I233" s="66"/>
      <c r="J233" s="66"/>
      <c r="K233" s="82"/>
      <c r="L233" s="82"/>
      <c r="M233" s="82"/>
      <c r="N233" s="82"/>
      <c r="O233" s="82"/>
      <c r="P233" s="82"/>
      <c r="Q233" s="82"/>
      <c r="R233" s="82"/>
      <c r="S233" s="82"/>
      <c r="T233" s="82"/>
      <c r="U233" s="82"/>
      <c r="V233" s="82"/>
      <c r="W233" s="83"/>
    </row>
    <row r="234" spans="2:23" x14ac:dyDescent="0.25">
      <c r="B234" s="84"/>
      <c r="C234" s="66"/>
      <c r="D234" s="66"/>
      <c r="E234" s="66"/>
      <c r="F234" s="66"/>
      <c r="G234" s="66"/>
      <c r="H234" s="66"/>
      <c r="I234" s="66"/>
      <c r="J234" s="66"/>
      <c r="K234" s="82"/>
      <c r="L234" s="82"/>
      <c r="M234" s="82"/>
      <c r="N234" s="82"/>
      <c r="O234" s="82"/>
      <c r="P234" s="82"/>
      <c r="Q234" s="82"/>
      <c r="R234" s="82"/>
      <c r="S234" s="82"/>
      <c r="T234" s="82"/>
      <c r="U234" s="82"/>
      <c r="V234" s="82"/>
      <c r="W234" s="83"/>
    </row>
    <row r="235" spans="2:23" x14ac:dyDescent="0.25">
      <c r="B235" s="84"/>
      <c r="C235" s="66"/>
      <c r="D235" s="66"/>
      <c r="E235" s="66"/>
      <c r="F235" s="66"/>
      <c r="G235" s="66"/>
      <c r="H235" s="66"/>
      <c r="I235" s="66"/>
      <c r="J235" s="66"/>
      <c r="K235" s="82"/>
      <c r="L235" s="82"/>
      <c r="M235" s="82"/>
      <c r="N235" s="82"/>
      <c r="O235" s="82"/>
      <c r="P235" s="82"/>
      <c r="Q235" s="82"/>
      <c r="R235" s="82"/>
      <c r="S235" s="82"/>
      <c r="T235" s="82"/>
      <c r="U235" s="82"/>
      <c r="V235" s="82"/>
      <c r="W235" s="83"/>
    </row>
    <row r="236" spans="2:23" ht="15.75" thickBot="1" x14ac:dyDescent="0.3">
      <c r="B236" s="85"/>
      <c r="C236" s="86"/>
      <c r="D236" s="86"/>
      <c r="E236" s="86"/>
      <c r="F236" s="86"/>
      <c r="G236" s="86"/>
      <c r="H236" s="86"/>
      <c r="I236" s="86"/>
      <c r="J236" s="86"/>
      <c r="K236" s="87"/>
      <c r="L236" s="87"/>
      <c r="M236" s="87"/>
      <c r="N236" s="87"/>
      <c r="O236" s="87"/>
      <c r="P236" s="87"/>
      <c r="Q236" s="87"/>
      <c r="R236" s="87"/>
      <c r="S236" s="87"/>
      <c r="T236" s="87"/>
      <c r="U236" s="87"/>
      <c r="V236" s="87"/>
      <c r="W236" s="88"/>
    </row>
    <row r="237" spans="2:23" ht="15.75" thickBot="1" x14ac:dyDescent="0.3"/>
    <row r="238" spans="2:23" x14ac:dyDescent="0.25">
      <c r="B238" s="89"/>
      <c r="C238" s="90"/>
      <c r="D238" s="90"/>
      <c r="E238" s="90"/>
      <c r="F238" s="90"/>
      <c r="G238" s="90"/>
      <c r="H238" s="90"/>
      <c r="I238" s="90"/>
      <c r="J238" s="90"/>
      <c r="K238" s="79"/>
      <c r="L238" s="79"/>
      <c r="M238" s="79"/>
      <c r="N238" s="79"/>
      <c r="O238" s="79"/>
      <c r="P238" s="79"/>
      <c r="Q238" s="79"/>
      <c r="R238" s="79"/>
      <c r="S238" s="79"/>
      <c r="T238" s="79"/>
      <c r="U238" s="79"/>
      <c r="V238" s="79"/>
      <c r="W238" s="80"/>
    </row>
    <row r="239" spans="2:23" x14ac:dyDescent="0.25">
      <c r="B239" s="84"/>
      <c r="C239" s="66"/>
      <c r="D239" s="66"/>
      <c r="E239" s="66"/>
      <c r="F239" s="66"/>
      <c r="G239" s="66"/>
      <c r="H239" s="66"/>
      <c r="I239" s="66"/>
      <c r="J239" s="66"/>
      <c r="K239" s="82"/>
      <c r="L239" s="82"/>
      <c r="M239" s="82"/>
      <c r="N239" s="82"/>
      <c r="O239" s="82"/>
      <c r="P239" s="82"/>
      <c r="Q239" s="82"/>
      <c r="R239" s="82"/>
      <c r="S239" s="82"/>
      <c r="T239" s="82"/>
      <c r="U239" s="82"/>
      <c r="V239" s="82"/>
      <c r="W239" s="83"/>
    </row>
    <row r="240" spans="2:23" x14ac:dyDescent="0.25">
      <c r="B240" s="84"/>
      <c r="C240" s="66"/>
      <c r="D240" s="66"/>
      <c r="E240" s="66"/>
      <c r="F240" s="66"/>
      <c r="G240" s="66"/>
      <c r="H240" s="66"/>
      <c r="I240" s="66"/>
      <c r="J240" s="66"/>
      <c r="K240" s="82"/>
      <c r="L240" s="82"/>
      <c r="M240" s="82"/>
      <c r="N240" s="82"/>
      <c r="O240" s="82"/>
      <c r="P240" s="82"/>
      <c r="Q240" s="82"/>
      <c r="R240" s="82"/>
      <c r="S240" s="82"/>
      <c r="T240" s="82"/>
      <c r="U240" s="82"/>
      <c r="V240" s="82"/>
      <c r="W240" s="83"/>
    </row>
    <row r="241" spans="2:23" x14ac:dyDescent="0.25">
      <c r="B241" s="84"/>
      <c r="C241" s="66"/>
      <c r="D241" s="66"/>
      <c r="E241" s="66"/>
      <c r="F241" s="66"/>
      <c r="G241" s="66"/>
      <c r="H241" s="66"/>
      <c r="I241" s="66"/>
      <c r="J241" s="66"/>
      <c r="K241" s="82"/>
      <c r="L241" s="82"/>
      <c r="M241" s="82"/>
      <c r="N241" s="82"/>
      <c r="O241" s="82"/>
      <c r="P241" s="82"/>
      <c r="Q241" s="82"/>
      <c r="R241" s="82"/>
      <c r="S241" s="82"/>
      <c r="T241" s="82"/>
      <c r="U241" s="82"/>
      <c r="V241" s="82"/>
      <c r="W241" s="83"/>
    </row>
    <row r="242" spans="2:23" x14ac:dyDescent="0.25">
      <c r="B242" s="84"/>
      <c r="C242" s="66"/>
      <c r="D242" s="66"/>
      <c r="E242" s="66"/>
      <c r="F242" s="66"/>
      <c r="G242" s="66"/>
      <c r="H242" s="66"/>
      <c r="I242" s="66"/>
      <c r="J242" s="66"/>
      <c r="K242" s="82"/>
      <c r="L242" s="82"/>
      <c r="M242" s="82"/>
      <c r="N242" s="82"/>
      <c r="O242" s="82"/>
      <c r="P242" s="82"/>
      <c r="Q242" s="82"/>
      <c r="R242" s="82"/>
      <c r="S242" s="82"/>
      <c r="T242" s="82"/>
      <c r="U242" s="82"/>
      <c r="V242" s="82"/>
      <c r="W242" s="83"/>
    </row>
    <row r="243" spans="2:23" x14ac:dyDescent="0.25">
      <c r="B243" s="84"/>
      <c r="C243" s="66"/>
      <c r="D243" s="66"/>
      <c r="E243" s="66"/>
      <c r="F243" s="66"/>
      <c r="G243" s="66"/>
      <c r="H243" s="66"/>
      <c r="I243" s="66"/>
      <c r="J243" s="66"/>
      <c r="K243" s="82"/>
      <c r="L243" s="82"/>
      <c r="M243" s="82"/>
      <c r="N243" s="82"/>
      <c r="O243" s="82"/>
      <c r="P243" s="82"/>
      <c r="Q243" s="82"/>
      <c r="R243" s="82"/>
      <c r="S243" s="82"/>
      <c r="T243" s="82"/>
      <c r="U243" s="82"/>
      <c r="V243" s="82"/>
      <c r="W243" s="83"/>
    </row>
    <row r="244" spans="2:23" x14ac:dyDescent="0.25">
      <c r="B244" s="84"/>
      <c r="C244" s="66"/>
      <c r="D244" s="66"/>
      <c r="E244" s="66"/>
      <c r="F244" s="66"/>
      <c r="G244" s="66"/>
      <c r="H244" s="66"/>
      <c r="I244" s="66"/>
      <c r="J244" s="66"/>
      <c r="K244" s="82"/>
      <c r="L244" s="82"/>
      <c r="M244" s="82"/>
      <c r="N244" s="82"/>
      <c r="O244" s="82"/>
      <c r="P244" s="82"/>
      <c r="Q244" s="82"/>
      <c r="R244" s="82"/>
      <c r="S244" s="82"/>
      <c r="T244" s="82"/>
      <c r="U244" s="82"/>
      <c r="V244" s="82"/>
      <c r="W244" s="83"/>
    </row>
    <row r="245" spans="2:23" x14ac:dyDescent="0.25">
      <c r="B245" s="84"/>
      <c r="C245" s="66"/>
      <c r="D245" s="66"/>
      <c r="E245" s="66"/>
      <c r="F245" s="66"/>
      <c r="G245" s="66"/>
      <c r="H245" s="66"/>
      <c r="I245" s="66"/>
      <c r="J245" s="66"/>
      <c r="K245" s="82"/>
      <c r="L245" s="82"/>
      <c r="M245" s="82"/>
      <c r="N245" s="82"/>
      <c r="O245" s="82"/>
      <c r="P245" s="82"/>
      <c r="Q245" s="82"/>
      <c r="R245" s="82"/>
      <c r="S245" s="82"/>
      <c r="T245" s="82"/>
      <c r="U245" s="82"/>
      <c r="V245" s="82"/>
      <c r="W245" s="83"/>
    </row>
    <row r="246" spans="2:23" x14ac:dyDescent="0.25">
      <c r="B246" s="84"/>
      <c r="C246" s="66"/>
      <c r="D246" s="66"/>
      <c r="E246" s="66"/>
      <c r="F246" s="66"/>
      <c r="G246" s="66"/>
      <c r="H246" s="66"/>
      <c r="I246" s="66"/>
      <c r="J246" s="66"/>
      <c r="K246" s="82"/>
      <c r="L246" s="82"/>
      <c r="M246" s="82"/>
      <c r="N246" s="82"/>
      <c r="O246" s="82"/>
      <c r="P246" s="82"/>
      <c r="Q246" s="82"/>
      <c r="R246" s="82"/>
      <c r="S246" s="82"/>
      <c r="T246" s="82"/>
      <c r="U246" s="82"/>
      <c r="V246" s="82"/>
      <c r="W246" s="83"/>
    </row>
    <row r="247" spans="2:23" x14ac:dyDescent="0.25">
      <c r="B247" s="84"/>
      <c r="C247" s="66"/>
      <c r="D247" s="66"/>
      <c r="E247" s="66"/>
      <c r="F247" s="66"/>
      <c r="G247" s="66"/>
      <c r="H247" s="66"/>
      <c r="I247" s="66"/>
      <c r="J247" s="66"/>
      <c r="K247" s="82"/>
      <c r="L247" s="82"/>
      <c r="M247" s="82"/>
      <c r="N247" s="82"/>
      <c r="O247" s="82"/>
      <c r="P247" s="82"/>
      <c r="Q247" s="82"/>
      <c r="R247" s="82"/>
      <c r="S247" s="82"/>
      <c r="T247" s="82"/>
      <c r="U247" s="82"/>
      <c r="V247" s="82"/>
      <c r="W247" s="83"/>
    </row>
    <row r="248" spans="2:23" x14ac:dyDescent="0.25">
      <c r="B248" s="84"/>
      <c r="C248" s="66"/>
      <c r="D248" s="66"/>
      <c r="E248" s="66"/>
      <c r="F248" s="66"/>
      <c r="G248" s="66"/>
      <c r="H248" s="66"/>
      <c r="I248" s="66"/>
      <c r="J248" s="66"/>
      <c r="K248" s="82"/>
      <c r="L248" s="82"/>
      <c r="M248" s="82"/>
      <c r="N248" s="82"/>
      <c r="O248" s="82"/>
      <c r="P248" s="82"/>
      <c r="Q248" s="82"/>
      <c r="R248" s="82"/>
      <c r="S248" s="82"/>
      <c r="T248" s="82"/>
      <c r="U248" s="82"/>
      <c r="V248" s="82"/>
      <c r="W248" s="83"/>
    </row>
    <row r="249" spans="2:23" x14ac:dyDescent="0.25">
      <c r="B249" s="84"/>
      <c r="C249" s="66"/>
      <c r="D249" s="66"/>
      <c r="E249" s="66"/>
      <c r="F249" s="66"/>
      <c r="G249" s="66"/>
      <c r="H249" s="66"/>
      <c r="I249" s="66"/>
      <c r="J249" s="66"/>
      <c r="K249" s="82"/>
      <c r="L249" s="82"/>
      <c r="M249" s="82"/>
      <c r="N249" s="82"/>
      <c r="O249" s="82"/>
      <c r="P249" s="82"/>
      <c r="Q249" s="82"/>
      <c r="R249" s="82"/>
      <c r="S249" s="82"/>
      <c r="T249" s="82"/>
      <c r="U249" s="82"/>
      <c r="V249" s="82"/>
      <c r="W249" s="83"/>
    </row>
    <row r="250" spans="2:23" x14ac:dyDescent="0.25">
      <c r="B250" s="84"/>
      <c r="C250" s="66"/>
      <c r="D250" s="66"/>
      <c r="E250" s="66"/>
      <c r="F250" s="66"/>
      <c r="G250" s="66"/>
      <c r="H250" s="66"/>
      <c r="I250" s="66"/>
      <c r="J250" s="66"/>
      <c r="K250" s="82"/>
      <c r="L250" s="82"/>
      <c r="M250" s="82"/>
      <c r="N250" s="82"/>
      <c r="O250" s="82"/>
      <c r="P250" s="82"/>
      <c r="Q250" s="82"/>
      <c r="R250" s="82"/>
      <c r="S250" s="82"/>
      <c r="T250" s="82"/>
      <c r="U250" s="82"/>
      <c r="V250" s="82"/>
      <c r="W250" s="83"/>
    </row>
    <row r="251" spans="2:23" x14ac:dyDescent="0.25">
      <c r="B251" s="84"/>
      <c r="C251" s="66"/>
      <c r="D251" s="66"/>
      <c r="E251" s="66"/>
      <c r="F251" s="66"/>
      <c r="G251" s="66"/>
      <c r="H251" s="66"/>
      <c r="I251" s="66"/>
      <c r="J251" s="66"/>
      <c r="K251" s="82"/>
      <c r="L251" s="82"/>
      <c r="M251" s="82"/>
      <c r="N251" s="82"/>
      <c r="O251" s="82"/>
      <c r="P251" s="82"/>
      <c r="Q251" s="82"/>
      <c r="R251" s="82"/>
      <c r="S251" s="82"/>
      <c r="T251" s="82"/>
      <c r="U251" s="82"/>
      <c r="V251" s="82"/>
      <c r="W251" s="83"/>
    </row>
    <row r="252" spans="2:23" x14ac:dyDescent="0.25">
      <c r="B252" s="84"/>
      <c r="C252" s="66"/>
      <c r="D252" s="66"/>
      <c r="E252" s="66"/>
      <c r="F252" s="66"/>
      <c r="G252" s="66"/>
      <c r="H252" s="66"/>
      <c r="I252" s="66"/>
      <c r="J252" s="66"/>
      <c r="K252" s="82"/>
      <c r="L252" s="82"/>
      <c r="M252" s="82"/>
      <c r="N252" s="82"/>
      <c r="O252" s="82"/>
      <c r="P252" s="82"/>
      <c r="Q252" s="82"/>
      <c r="R252" s="82"/>
      <c r="S252" s="82"/>
      <c r="T252" s="82"/>
      <c r="U252" s="82"/>
      <c r="V252" s="82"/>
      <c r="W252" s="83"/>
    </row>
    <row r="253" spans="2:23" x14ac:dyDescent="0.25">
      <c r="B253" s="84"/>
      <c r="C253" s="66"/>
      <c r="D253" s="66"/>
      <c r="E253" s="66"/>
      <c r="F253" s="66"/>
      <c r="G253" s="66"/>
      <c r="H253" s="66"/>
      <c r="I253" s="66"/>
      <c r="J253" s="66"/>
      <c r="K253" s="82"/>
      <c r="L253" s="82"/>
      <c r="M253" s="82"/>
      <c r="N253" s="82"/>
      <c r="O253" s="82"/>
      <c r="P253" s="82"/>
      <c r="Q253" s="82"/>
      <c r="R253" s="82"/>
      <c r="S253" s="82"/>
      <c r="T253" s="82"/>
      <c r="U253" s="82"/>
      <c r="V253" s="82"/>
      <c r="W253" s="83"/>
    </row>
    <row r="254" spans="2:23" x14ac:dyDescent="0.25">
      <c r="B254" s="84"/>
      <c r="C254" s="66"/>
      <c r="D254" s="66"/>
      <c r="E254" s="66"/>
      <c r="F254" s="66"/>
      <c r="G254" s="66"/>
      <c r="H254" s="66"/>
      <c r="I254" s="66"/>
      <c r="J254" s="66"/>
      <c r="K254" s="82"/>
      <c r="L254" s="82"/>
      <c r="M254" s="82"/>
      <c r="N254" s="82"/>
      <c r="O254" s="82"/>
      <c r="P254" s="82"/>
      <c r="Q254" s="82"/>
      <c r="R254" s="82"/>
      <c r="S254" s="82"/>
      <c r="T254" s="82"/>
      <c r="U254" s="82"/>
      <c r="V254" s="82"/>
      <c r="W254" s="83"/>
    </row>
    <row r="255" spans="2:23" x14ac:dyDescent="0.25">
      <c r="B255" s="84"/>
      <c r="C255" s="66"/>
      <c r="D255" s="66"/>
      <c r="E255" s="66"/>
      <c r="F255" s="66"/>
      <c r="G255" s="66"/>
      <c r="H255" s="66"/>
      <c r="I255" s="66"/>
      <c r="J255" s="66"/>
      <c r="K255" s="82"/>
      <c r="L255" s="82"/>
      <c r="M255" s="82"/>
      <c r="N255" s="82"/>
      <c r="O255" s="82"/>
      <c r="P255" s="82"/>
      <c r="Q255" s="82"/>
      <c r="R255" s="82"/>
      <c r="S255" s="82"/>
      <c r="T255" s="82"/>
      <c r="U255" s="82"/>
      <c r="V255" s="82"/>
      <c r="W255" s="83"/>
    </row>
    <row r="256" spans="2:23" x14ac:dyDescent="0.25">
      <c r="B256" s="84"/>
      <c r="C256" s="66"/>
      <c r="D256" s="66"/>
      <c r="E256" s="66"/>
      <c r="F256" s="66"/>
      <c r="G256" s="66"/>
      <c r="H256" s="66"/>
      <c r="I256" s="66"/>
      <c r="J256" s="66"/>
      <c r="K256" s="82"/>
      <c r="L256" s="82"/>
      <c r="M256" s="82"/>
      <c r="N256" s="82"/>
      <c r="O256" s="82"/>
      <c r="P256" s="82"/>
      <c r="Q256" s="82"/>
      <c r="R256" s="82"/>
      <c r="S256" s="82"/>
      <c r="T256" s="82"/>
      <c r="U256" s="82"/>
      <c r="V256" s="82"/>
      <c r="W256" s="83"/>
    </row>
    <row r="257" spans="2:23" x14ac:dyDescent="0.25">
      <c r="B257" s="84"/>
      <c r="C257" s="66"/>
      <c r="D257" s="66"/>
      <c r="E257" s="66"/>
      <c r="F257" s="66"/>
      <c r="G257" s="66"/>
      <c r="H257" s="66"/>
      <c r="I257" s="66"/>
      <c r="J257" s="66"/>
      <c r="K257" s="82"/>
      <c r="L257" s="82"/>
      <c r="M257" s="82"/>
      <c r="N257" s="82"/>
      <c r="O257" s="82"/>
      <c r="P257" s="82"/>
      <c r="Q257" s="82"/>
      <c r="R257" s="82"/>
      <c r="S257" s="82"/>
      <c r="T257" s="82"/>
      <c r="U257" s="82"/>
      <c r="V257" s="82"/>
      <c r="W257" s="83"/>
    </row>
    <row r="258" spans="2:23" x14ac:dyDescent="0.25">
      <c r="B258" s="84"/>
      <c r="C258" s="66"/>
      <c r="D258" s="66"/>
      <c r="E258" s="66"/>
      <c r="F258" s="66"/>
      <c r="G258" s="66"/>
      <c r="H258" s="66"/>
      <c r="I258" s="66"/>
      <c r="J258" s="66"/>
      <c r="K258" s="82"/>
      <c r="L258" s="82"/>
      <c r="M258" s="82"/>
      <c r="N258" s="82"/>
      <c r="O258" s="82"/>
      <c r="P258" s="82"/>
      <c r="Q258" s="82"/>
      <c r="R258" s="82"/>
      <c r="S258" s="82"/>
      <c r="T258" s="82"/>
      <c r="U258" s="82"/>
      <c r="V258" s="82"/>
      <c r="W258" s="83"/>
    </row>
    <row r="259" spans="2:23" x14ac:dyDescent="0.25">
      <c r="B259" s="84"/>
      <c r="C259" s="66"/>
      <c r="D259" s="66"/>
      <c r="E259" s="66"/>
      <c r="F259" s="66"/>
      <c r="G259" s="66"/>
      <c r="H259" s="66"/>
      <c r="I259" s="66"/>
      <c r="J259" s="66"/>
      <c r="K259" s="82"/>
      <c r="L259" s="82"/>
      <c r="M259" s="82"/>
      <c r="N259" s="82"/>
      <c r="O259" s="82"/>
      <c r="P259" s="82"/>
      <c r="Q259" s="82"/>
      <c r="R259" s="82"/>
      <c r="S259" s="82"/>
      <c r="T259" s="82"/>
      <c r="U259" s="82"/>
      <c r="V259" s="82"/>
      <c r="W259" s="83"/>
    </row>
    <row r="260" spans="2:23" x14ac:dyDescent="0.25">
      <c r="B260" s="84"/>
      <c r="C260" s="66"/>
      <c r="D260" s="66"/>
      <c r="E260" s="66"/>
      <c r="F260" s="66"/>
      <c r="G260" s="66"/>
      <c r="H260" s="66"/>
      <c r="I260" s="66"/>
      <c r="J260" s="66"/>
      <c r="K260" s="82"/>
      <c r="L260" s="82"/>
      <c r="M260" s="82"/>
      <c r="N260" s="82"/>
      <c r="O260" s="82"/>
      <c r="P260" s="82"/>
      <c r="Q260" s="82"/>
      <c r="R260" s="82"/>
      <c r="S260" s="82"/>
      <c r="T260" s="82"/>
      <c r="U260" s="82"/>
      <c r="V260" s="82"/>
      <c r="W260" s="83"/>
    </row>
    <row r="261" spans="2:23" x14ac:dyDescent="0.25">
      <c r="B261" s="84"/>
      <c r="C261" s="66"/>
      <c r="D261" s="66"/>
      <c r="E261" s="66"/>
      <c r="F261" s="66"/>
      <c r="G261" s="66"/>
      <c r="H261" s="66"/>
      <c r="I261" s="66"/>
      <c r="J261" s="66"/>
      <c r="K261" s="82"/>
      <c r="L261" s="82"/>
      <c r="M261" s="82"/>
      <c r="N261" s="82"/>
      <c r="O261" s="82"/>
      <c r="P261" s="82"/>
      <c r="Q261" s="82"/>
      <c r="R261" s="82"/>
      <c r="S261" s="82"/>
      <c r="T261" s="82"/>
      <c r="U261" s="82"/>
      <c r="V261" s="82"/>
      <c r="W261" s="83"/>
    </row>
    <row r="262" spans="2:23" x14ac:dyDescent="0.25">
      <c r="B262" s="84"/>
      <c r="C262" s="66"/>
      <c r="D262" s="66"/>
      <c r="E262" s="66"/>
      <c r="F262" s="66"/>
      <c r="G262" s="66"/>
      <c r="H262" s="66"/>
      <c r="I262" s="66"/>
      <c r="J262" s="66"/>
      <c r="K262" s="82"/>
      <c r="L262" s="82"/>
      <c r="M262" s="82"/>
      <c r="N262" s="82"/>
      <c r="O262" s="82"/>
      <c r="P262" s="82"/>
      <c r="Q262" s="82"/>
      <c r="R262" s="82"/>
      <c r="S262" s="82"/>
      <c r="T262" s="82"/>
      <c r="U262" s="82"/>
      <c r="V262" s="82"/>
      <c r="W262" s="83"/>
    </row>
    <row r="263" spans="2:23" x14ac:dyDescent="0.25">
      <c r="B263" s="84"/>
      <c r="C263" s="66"/>
      <c r="D263" s="66"/>
      <c r="E263" s="66"/>
      <c r="F263" s="66"/>
      <c r="G263" s="66"/>
      <c r="H263" s="66"/>
      <c r="I263" s="66"/>
      <c r="J263" s="66"/>
      <c r="K263" s="82"/>
      <c r="L263" s="82"/>
      <c r="M263" s="82"/>
      <c r="N263" s="82"/>
      <c r="O263" s="82"/>
      <c r="P263" s="82"/>
      <c r="Q263" s="82"/>
      <c r="R263" s="82"/>
      <c r="S263" s="82"/>
      <c r="T263" s="82"/>
      <c r="U263" s="82"/>
      <c r="V263" s="82"/>
      <c r="W263" s="83"/>
    </row>
    <row r="264" spans="2:23" x14ac:dyDescent="0.25">
      <c r="B264" s="84"/>
      <c r="C264" s="66"/>
      <c r="D264" s="66"/>
      <c r="E264" s="66"/>
      <c r="F264" s="66"/>
      <c r="G264" s="66"/>
      <c r="H264" s="66"/>
      <c r="I264" s="66"/>
      <c r="J264" s="66"/>
      <c r="K264" s="82"/>
      <c r="L264" s="82"/>
      <c r="M264" s="82"/>
      <c r="N264" s="82"/>
      <c r="O264" s="82"/>
      <c r="P264" s="82"/>
      <c r="Q264" s="82"/>
      <c r="R264" s="82"/>
      <c r="S264" s="82"/>
      <c r="T264" s="82"/>
      <c r="U264" s="82"/>
      <c r="V264" s="82"/>
      <c r="W264" s="83"/>
    </row>
    <row r="265" spans="2:23" x14ac:dyDescent="0.25">
      <c r="B265" s="84"/>
      <c r="C265" s="66"/>
      <c r="D265" s="66"/>
      <c r="E265" s="66"/>
      <c r="F265" s="66"/>
      <c r="G265" s="66"/>
      <c r="H265" s="66"/>
      <c r="I265" s="66"/>
      <c r="J265" s="66"/>
      <c r="K265" s="82"/>
      <c r="L265" s="82"/>
      <c r="M265" s="82"/>
      <c r="N265" s="82"/>
      <c r="O265" s="82"/>
      <c r="P265" s="82"/>
      <c r="Q265" s="82"/>
      <c r="R265" s="82"/>
      <c r="S265" s="82"/>
      <c r="T265" s="82"/>
      <c r="U265" s="82"/>
      <c r="V265" s="82"/>
      <c r="W265" s="83"/>
    </row>
    <row r="266" spans="2:23" x14ac:dyDescent="0.25">
      <c r="B266" s="84"/>
      <c r="C266" s="66"/>
      <c r="D266" s="66"/>
      <c r="E266" s="66"/>
      <c r="F266" s="66"/>
      <c r="G266" s="66"/>
      <c r="H266" s="66"/>
      <c r="I266" s="66"/>
      <c r="J266" s="66"/>
      <c r="K266" s="82"/>
      <c r="L266" s="82"/>
      <c r="M266" s="82"/>
      <c r="N266" s="82"/>
      <c r="O266" s="82"/>
      <c r="P266" s="82"/>
      <c r="Q266" s="82"/>
      <c r="R266" s="82"/>
      <c r="S266" s="82"/>
      <c r="T266" s="82"/>
      <c r="U266" s="82"/>
      <c r="V266" s="82"/>
      <c r="W266" s="83"/>
    </row>
    <row r="267" spans="2:23" x14ac:dyDescent="0.25">
      <c r="B267" s="84"/>
      <c r="C267" s="66"/>
      <c r="D267" s="66"/>
      <c r="E267" s="66"/>
      <c r="F267" s="66"/>
      <c r="G267" s="66"/>
      <c r="H267" s="66"/>
      <c r="I267" s="66"/>
      <c r="J267" s="66"/>
      <c r="K267" s="82"/>
      <c r="L267" s="82"/>
      <c r="M267" s="82"/>
      <c r="N267" s="82"/>
      <c r="O267" s="82"/>
      <c r="P267" s="82"/>
      <c r="Q267" s="82"/>
      <c r="R267" s="82"/>
      <c r="S267" s="82"/>
      <c r="T267" s="82"/>
      <c r="U267" s="82"/>
      <c r="V267" s="82"/>
      <c r="W267" s="83"/>
    </row>
    <row r="268" spans="2:23" ht="15.75" thickBot="1" x14ac:dyDescent="0.3">
      <c r="B268" s="85"/>
      <c r="C268" s="86"/>
      <c r="D268" s="86"/>
      <c r="E268" s="86"/>
      <c r="F268" s="86"/>
      <c r="G268" s="86"/>
      <c r="H268" s="86"/>
      <c r="I268" s="86"/>
      <c r="J268" s="86"/>
      <c r="K268" s="87"/>
      <c r="L268" s="87"/>
      <c r="M268" s="87"/>
      <c r="N268" s="87"/>
      <c r="O268" s="87"/>
      <c r="P268" s="87"/>
      <c r="Q268" s="87"/>
      <c r="R268" s="87"/>
      <c r="S268" s="87"/>
      <c r="T268" s="87"/>
      <c r="U268" s="87"/>
      <c r="V268" s="87"/>
      <c r="W268" s="88"/>
    </row>
  </sheetData>
  <mergeCells count="18">
    <mergeCell ref="B11:B12"/>
    <mergeCell ref="B2:B3"/>
    <mergeCell ref="C2:C3"/>
    <mergeCell ref="C11:C12"/>
    <mergeCell ref="F2:F3"/>
    <mergeCell ref="F11:F12"/>
    <mergeCell ref="E2:E3"/>
    <mergeCell ref="E11:E12"/>
    <mergeCell ref="D2:D3"/>
    <mergeCell ref="D11:D12"/>
    <mergeCell ref="G2:G3"/>
    <mergeCell ref="G11:G12"/>
    <mergeCell ref="H2:H3"/>
    <mergeCell ref="H11:H12"/>
    <mergeCell ref="J2:J3"/>
    <mergeCell ref="J11:J12"/>
    <mergeCell ref="I2:I3"/>
    <mergeCell ref="I11:I1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X274"/>
  <sheetViews>
    <sheetView showGridLines="0" workbookViewId="0">
      <selection activeCell="O7" sqref="O7"/>
    </sheetView>
  </sheetViews>
  <sheetFormatPr defaultRowHeight="15" x14ac:dyDescent="0.25"/>
  <cols>
    <col min="1" max="1" width="2.42578125" customWidth="1"/>
    <col min="2" max="2" width="14.7109375" style="15" customWidth="1"/>
    <col min="3" max="3" width="14.7109375" style="1" customWidth="1"/>
    <col min="4" max="4" width="10.7109375" style="1" customWidth="1"/>
    <col min="5" max="5" width="14.7109375" style="1" customWidth="1"/>
    <col min="6" max="6" width="10.7109375" style="1" customWidth="1"/>
    <col min="7" max="7" width="14.7109375" style="1" customWidth="1"/>
    <col min="8" max="8" width="12.7109375" style="1" customWidth="1"/>
    <col min="9" max="10" width="14.7109375" style="1" customWidth="1"/>
    <col min="11" max="11" width="2.42578125" customWidth="1"/>
  </cols>
  <sheetData>
    <row r="1" spans="1:17" ht="15.75" thickBot="1" x14ac:dyDescent="0.3">
      <c r="I1" s="76"/>
    </row>
    <row r="2" spans="1:17" ht="15" customHeight="1" x14ac:dyDescent="0.25">
      <c r="B2" s="128" t="s">
        <v>220</v>
      </c>
      <c r="C2" s="133" t="s">
        <v>208</v>
      </c>
      <c r="D2" s="133" t="s">
        <v>215</v>
      </c>
      <c r="E2" s="133" t="s">
        <v>209</v>
      </c>
      <c r="F2" s="133" t="s">
        <v>210</v>
      </c>
      <c r="G2" s="128" t="s">
        <v>212</v>
      </c>
      <c r="H2" s="164"/>
      <c r="I2" s="164"/>
      <c r="J2" s="164"/>
    </row>
    <row r="3" spans="1:17" ht="15.75" customHeight="1" thickBot="1" x14ac:dyDescent="0.3">
      <c r="B3" s="129"/>
      <c r="C3" s="135"/>
      <c r="D3" s="135"/>
      <c r="E3" s="135"/>
      <c r="F3" s="135"/>
      <c r="G3" s="129"/>
      <c r="H3" s="164"/>
      <c r="I3" s="164"/>
      <c r="J3" s="164"/>
    </row>
    <row r="4" spans="1:17" ht="15.75" customHeight="1" x14ac:dyDescent="0.25">
      <c r="A4" s="69"/>
      <c r="B4" s="58" t="s">
        <v>31</v>
      </c>
      <c r="C4" s="61">
        <f>SUM(SUMIF('Raw Data'!$C$5:$C$514,$B4, 'Raw Data'!$I$5:$KI$514))</f>
        <v>2911043.82</v>
      </c>
      <c r="D4" s="74">
        <f>SUM(COUNTIF('Raw Data'!$C$5:$C$514,$B4))</f>
        <v>151</v>
      </c>
      <c r="E4" s="61">
        <f>SUM(SUMIF('Raw Data'!$C$5:$C$514,$B4, 'Raw Data'!$I$5:$I$514))/SUM(COUNTIF('Raw Data'!$C$5:$C$514,$B4))</f>
        <v>19278.435894039732</v>
      </c>
      <c r="F4" s="70">
        <f>SUM(SUMIF('Raw Data'!$C$5:$C$514,$B4, 'Raw Data'!$K$5:$K$514))/SUM(COUNTIF('Raw Data'!$C$5:$C$514,$B4))</f>
        <v>0.52235615194802942</v>
      </c>
      <c r="G4" s="61">
        <f>SUM(SUMIF('Raw Data'!$C$5:$C$514,$B4, 'Raw Data'!$N$5:$N$514))/SUM(COUNTIF('Raw Data'!$C$5:$C$514,$B4))</f>
        <v>676.29933774834433</v>
      </c>
      <c r="H4" s="93"/>
      <c r="I4" s="92"/>
      <c r="J4" s="92"/>
    </row>
    <row r="5" spans="1:17" ht="15.75" customHeight="1" x14ac:dyDescent="0.25">
      <c r="A5" s="69"/>
      <c r="B5" s="52" t="s">
        <v>230</v>
      </c>
      <c r="C5" s="63">
        <f>SUM(SUMIF('Raw Data'!$C$5:$C$514,$B5, 'Raw Data'!$I$5:$KI$514))</f>
        <v>5969.76</v>
      </c>
      <c r="D5" s="91">
        <f>SUM(COUNTIF('Raw Data'!$C$5:$C$514,$B5))</f>
        <v>1</v>
      </c>
      <c r="E5" s="63">
        <f>SUM(SUMIF('Raw Data'!$C$5:$C$514,$B5, 'Raw Data'!$I$5:$I$514))/SUM(COUNTIF('Raw Data'!$C$5:$C$514,$B5))</f>
        <v>5969.76</v>
      </c>
      <c r="F5" s="72">
        <f>SUM(SUMIF('Raw Data'!$C$5:$C$514,$B5, 'Raw Data'!$K$5:$K$514))/SUM(COUNTIF('Raw Data'!$C$5:$C$514,$B5))</f>
        <v>0.50696845434322313</v>
      </c>
      <c r="G5" s="63">
        <f>SUM(SUMIF('Raw Data'!$C$5:$C$514,$B5, 'Raw Data'!$N$5:$N$514))/SUM(COUNTIF('Raw Data'!$C$5:$C$514,$B5))</f>
        <v>-6.84</v>
      </c>
      <c r="H5" s="93"/>
      <c r="I5" s="92"/>
      <c r="J5" s="92"/>
    </row>
    <row r="6" spans="1:17" ht="15.75" customHeight="1" x14ac:dyDescent="0.25">
      <c r="A6" s="69"/>
      <c r="B6" s="53" t="s">
        <v>216</v>
      </c>
      <c r="C6" s="63">
        <f>SUM(SUMIF('Raw Data'!$C$5:$C$514,$B6, 'Raw Data'!$I$5:$KI$514))</f>
        <v>51859.569999999992</v>
      </c>
      <c r="D6" s="91">
        <f>SUM(COUNTIF('Raw Data'!$C$5:$C$514,$B6))</f>
        <v>4</v>
      </c>
      <c r="E6" s="63">
        <f>SUM(SUMIF('Raw Data'!$C$5:$C$514,$B6, 'Raw Data'!$I$5:$I$514))/SUM(COUNTIF('Raw Data'!$C$5:$C$514,$B6))</f>
        <v>12964.892499999998</v>
      </c>
      <c r="F6" s="72">
        <f>SUM(SUMIF('Raw Data'!$C$5:$C$514,$B6, 'Raw Data'!$K$5:$K$514))/SUM(COUNTIF('Raw Data'!$C$5:$C$514,$B6))</f>
        <v>0.51983491427666206</v>
      </c>
      <c r="G6" s="63">
        <f>SUM(SUMIF('Raw Data'!$C$5:$C$514,$B6, 'Raw Data'!$N$5:$N$514))/SUM(COUNTIF('Raw Data'!$C$5:$C$514,$B6))</f>
        <v>170.46750000000009</v>
      </c>
      <c r="H6" s="93"/>
      <c r="I6" s="92"/>
      <c r="J6" s="92"/>
    </row>
    <row r="7" spans="1:17" ht="15.75" customHeight="1" x14ac:dyDescent="0.25">
      <c r="A7" s="69"/>
      <c r="B7" s="53" t="s">
        <v>131</v>
      </c>
      <c r="C7" s="63">
        <f>SUM(SUMIF('Raw Data'!$C$5:$C$514,$B7, 'Raw Data'!$I$5:$KI$514))</f>
        <v>78914.98</v>
      </c>
      <c r="D7" s="91">
        <f>SUM(COUNTIF('Raw Data'!$C$5:$C$514,$B7))</f>
        <v>6</v>
      </c>
      <c r="E7" s="63">
        <f>SUM(SUMIF('Raw Data'!$C$5:$C$514,$B7, 'Raw Data'!$I$5:$I$514))/SUM(COUNTIF('Raw Data'!$C$5:$C$514,$B7))</f>
        <v>13152.496666666666</v>
      </c>
      <c r="F7" s="72">
        <f>SUM(SUMIF('Raw Data'!$C$5:$C$514,$B7, 'Raw Data'!$K$5:$K$514))/SUM(COUNTIF('Raw Data'!$C$5:$C$514,$B7))</f>
        <v>0.5559162996194047</v>
      </c>
      <c r="G7" s="63">
        <f>SUM(SUMIF('Raw Data'!$C$5:$C$514,$B7, 'Raw Data'!$N$5:$N$514))/SUM(COUNTIF('Raw Data'!$C$5:$C$514,$B7))</f>
        <v>850.38166666666666</v>
      </c>
      <c r="H7" s="93"/>
      <c r="I7" s="92"/>
      <c r="J7" s="92"/>
    </row>
    <row r="8" spans="1:17" ht="15.75" customHeight="1" x14ac:dyDescent="0.25">
      <c r="A8" s="69"/>
      <c r="B8" s="52" t="s">
        <v>127</v>
      </c>
      <c r="C8" s="63">
        <f>SUM(SUMIF('Raw Data'!$C$5:$C$514,$B8, 'Raw Data'!$I$5:$KI$514))</f>
        <v>69195.299999999988</v>
      </c>
      <c r="D8" s="91">
        <f>SUM(COUNTIF('Raw Data'!$C$5:$C$514,$B8))</f>
        <v>5</v>
      </c>
      <c r="E8" s="63">
        <f>SUM(SUMIF('Raw Data'!$C$5:$C$514,$B8, 'Raw Data'!$I$5:$I$514))/SUM(COUNTIF('Raw Data'!$C$5:$C$514,$B8))</f>
        <v>13839.059999999998</v>
      </c>
      <c r="F8" s="72">
        <f>SUM(SUMIF('Raw Data'!$C$5:$C$514,$B8, 'Raw Data'!$K$5:$K$514))/SUM(COUNTIF('Raw Data'!$C$5:$C$514,$B8))</f>
        <v>0.54673249939167368</v>
      </c>
      <c r="G8" s="63">
        <f>SUM(SUMIF('Raw Data'!$C$5:$C$514,$B8, 'Raw Data'!$N$5:$N$514))/SUM(COUNTIF('Raw Data'!$C$5:$C$514,$B8))</f>
        <v>343.40999999999997</v>
      </c>
      <c r="H8" s="93"/>
      <c r="I8" s="92"/>
      <c r="J8" s="92"/>
    </row>
    <row r="9" spans="1:17" ht="15.75" customHeight="1" x14ac:dyDescent="0.25">
      <c r="A9" s="69"/>
      <c r="B9" s="53" t="s">
        <v>115</v>
      </c>
      <c r="C9" s="110">
        <f>SUM(SUMIF('Raw Data'!$C$5:$C$514,$B9, 'Raw Data'!$I$5:$KI$514))</f>
        <v>650582.71000000008</v>
      </c>
      <c r="D9" s="111">
        <f>SUM(COUNTIF('Raw Data'!$C$5:$C$514,$B9))</f>
        <v>42</v>
      </c>
      <c r="E9" s="110">
        <f>SUM(SUMIF('Raw Data'!$C$5:$C$514,$B9, 'Raw Data'!$I$5:$I$514))/SUM(COUNTIF('Raw Data'!$C$5:$C$514,$B9))</f>
        <v>15490.064523809526</v>
      </c>
      <c r="F9" s="112">
        <f>SUM(SUMIF('Raw Data'!$C$5:$C$514,$B9, 'Raw Data'!$K$5:$K$514))/SUM(COUNTIF('Raw Data'!$C$5:$C$514,$B9))</f>
        <v>0.53431621224763626</v>
      </c>
      <c r="G9" s="110">
        <f>SUM(SUMIF('Raw Data'!$C$5:$C$514,$B9, 'Raw Data'!$N$5:$N$514))/SUM(COUNTIF('Raw Data'!$C$5:$C$514,$B9))</f>
        <v>529.46214285714291</v>
      </c>
      <c r="H9" s="93"/>
      <c r="I9" s="92"/>
      <c r="J9" s="92"/>
      <c r="Q9" s="6"/>
    </row>
    <row r="10" spans="1:17" ht="15.75" customHeight="1" x14ac:dyDescent="0.25">
      <c r="A10" s="69"/>
      <c r="B10" s="52" t="s">
        <v>50</v>
      </c>
      <c r="C10" s="107">
        <f>SUM(SUMIF('Raw Data'!$C$5:$C$514,$B10, 'Raw Data'!$I$5:$KI$514))</f>
        <v>16018.8</v>
      </c>
      <c r="D10" s="108">
        <f>SUM(COUNTIF('Raw Data'!$C$5:$C$514,$B10))</f>
        <v>1</v>
      </c>
      <c r="E10" s="107">
        <f>SUM(SUMIF('Raw Data'!$C$5:$C$514,$B10, 'Raw Data'!$I$5:$I$514))/SUM(COUNTIF('Raw Data'!$C$5:$C$514,$B10))</f>
        <v>16018.8</v>
      </c>
      <c r="F10" s="109">
        <f>SUM(SUMIF('Raw Data'!$C$5:$C$514,$B10, 'Raw Data'!$K$5:$K$514))/SUM(COUNTIF('Raw Data'!$C$5:$C$514,$B10))</f>
        <v>0.50919606961819863</v>
      </c>
      <c r="G10" s="107">
        <f>SUM(SUMIF('Raw Data'!$C$5:$C$514,$B10, 'Raw Data'!$N$5:$N$514))/SUM(COUNTIF('Raw Data'!$C$5:$C$514,$B10))</f>
        <v>333.9</v>
      </c>
      <c r="H10" s="93"/>
      <c r="I10" s="92"/>
      <c r="J10" s="92"/>
    </row>
    <row r="11" spans="1:17" ht="15.75" customHeight="1" x14ac:dyDescent="0.25">
      <c r="A11" s="69"/>
      <c r="B11" s="53" t="s">
        <v>82</v>
      </c>
      <c r="C11" s="64">
        <f>SUM(SUMIF('Raw Data'!$C$5:$C$514,$B11, 'Raw Data'!$I$5:$KI$514))</f>
        <v>214350.09999999998</v>
      </c>
      <c r="D11" s="75">
        <f>SUM(COUNTIF('Raw Data'!$C$5:$C$514,$B11))</f>
        <v>13</v>
      </c>
      <c r="E11" s="64">
        <f>SUM(SUMIF('Raw Data'!$C$5:$C$514,$B11, 'Raw Data'!$I$5:$I$514))/SUM(COUNTIF('Raw Data'!$C$5:$C$514,$B11))</f>
        <v>16488.469230769228</v>
      </c>
      <c r="F11" s="71">
        <f>SUM(SUMIF('Raw Data'!$C$5:$C$514,$B11, 'Raw Data'!$K$5:$K$514))/SUM(COUNTIF('Raw Data'!$C$5:$C$514,$B11))</f>
        <v>0.48254760733872604</v>
      </c>
      <c r="G11" s="64">
        <f>SUM(SUMIF('Raw Data'!$C$5:$C$514,$B11, 'Raw Data'!$N$5:$N$514))/SUM(COUNTIF('Raw Data'!$C$5:$C$514,$B11))</f>
        <v>240.39153846153846</v>
      </c>
      <c r="H11" s="93"/>
      <c r="I11" s="92"/>
      <c r="J11" s="92"/>
    </row>
    <row r="12" spans="1:17" ht="15.75" customHeight="1" x14ac:dyDescent="0.25">
      <c r="A12" s="69"/>
      <c r="B12" s="53" t="s">
        <v>107</v>
      </c>
      <c r="C12" s="63">
        <f>SUM(SUMIF('Raw Data'!$C$5:$C$514,$B12, 'Raw Data'!$I$5:$KI$514))</f>
        <v>35627.910000000003</v>
      </c>
      <c r="D12" s="91">
        <f>SUM(COUNTIF('Raw Data'!$C$5:$C$514,$B12))</f>
        <v>1</v>
      </c>
      <c r="E12" s="63">
        <f>SUM(SUMIF('Raw Data'!$C$5:$C$514,$B12, 'Raw Data'!$I$5:$I$514))/SUM(COUNTIF('Raw Data'!$C$5:$C$514,$B12))</f>
        <v>35627.910000000003</v>
      </c>
      <c r="F12" s="72">
        <f>SUM(SUMIF('Raw Data'!$C$5:$C$514,$B12, 'Raw Data'!$K$5:$K$514))/SUM(COUNTIF('Raw Data'!$C$5:$C$514,$B12))</f>
        <v>0.61290179524984767</v>
      </c>
      <c r="G12" s="63">
        <f>SUM(SUMIF('Raw Data'!$C$5:$C$514,$B12, 'Raw Data'!$N$5:$N$514))/SUM(COUNTIF('Raw Data'!$C$5:$C$514,$B12))</f>
        <v>4511.51</v>
      </c>
      <c r="H12" s="93"/>
      <c r="I12" s="92"/>
      <c r="J12" s="92"/>
    </row>
    <row r="13" spans="1:17" ht="15.75" customHeight="1" x14ac:dyDescent="0.25">
      <c r="A13" s="69"/>
      <c r="B13" s="52" t="s">
        <v>185</v>
      </c>
      <c r="C13" s="63">
        <f>SUM(SUMIF('Raw Data'!$C$5:$C$514,$B13, 'Raw Data'!$I$5:$KI$514))</f>
        <v>77597.22</v>
      </c>
      <c r="D13" s="91">
        <f>SUM(COUNTIF('Raw Data'!$C$5:$C$514,$B13))</f>
        <v>2</v>
      </c>
      <c r="E13" s="63">
        <f>SUM(SUMIF('Raw Data'!$C$5:$C$514,$B13, 'Raw Data'!$I$5:$I$514))/SUM(COUNTIF('Raw Data'!$C$5:$C$514,$B13))</f>
        <v>38798.61</v>
      </c>
      <c r="F13" s="72">
        <f>SUM(SUMIF('Raw Data'!$C$5:$C$514,$B13, 'Raw Data'!$K$5:$K$514))/SUM(COUNTIF('Raw Data'!$C$5:$C$514,$B13))</f>
        <v>0.43667111266614977</v>
      </c>
      <c r="G13" s="63">
        <f>SUM(SUMIF('Raw Data'!$C$5:$C$514,$B13, 'Raw Data'!$N$5:$N$514))/SUM(COUNTIF('Raw Data'!$C$5:$C$514,$B13))</f>
        <v>86.860000000000014</v>
      </c>
      <c r="H13" s="93"/>
      <c r="I13" s="92"/>
      <c r="J13" s="92"/>
    </row>
    <row r="14" spans="1:17" ht="15.75" customHeight="1" thickBot="1" x14ac:dyDescent="0.3">
      <c r="A14" s="69"/>
      <c r="B14" s="53" t="s">
        <v>119</v>
      </c>
      <c r="C14" s="64">
        <f>SUM(SUMIF('Raw Data'!$C$5:$C$514,$B14, 'Raw Data'!$I$5:$KI$514))</f>
        <v>90152.3</v>
      </c>
      <c r="D14" s="75">
        <f>SUM(COUNTIF('Raw Data'!$C$5:$C$514,$B14))</f>
        <v>5</v>
      </c>
      <c r="E14" s="64">
        <f>SUM(SUMIF('Raw Data'!$C$5:$C$514,$B14, 'Raw Data'!$I$5:$I$514))/SUM(COUNTIF('Raw Data'!$C$5:$C$514,$B14))</f>
        <v>18030.46</v>
      </c>
      <c r="F14" s="71">
        <f>SUM(SUMIF('Raw Data'!$C$5:$C$514,$B14, 'Raw Data'!$K$5:$K$514))/SUM(COUNTIF('Raw Data'!$C$5:$C$514,$B14))</f>
        <v>0.57841905882133449</v>
      </c>
      <c r="G14" s="64">
        <f>SUM(SUMIF('Raw Data'!$C$5:$C$514,$B14, 'Raw Data'!$N$5:$N$514))/SUM(COUNTIF('Raw Data'!$C$5:$C$514,$B14))</f>
        <v>966.17400000000021</v>
      </c>
      <c r="H14" s="93"/>
      <c r="I14" s="92"/>
      <c r="J14" s="92"/>
      <c r="Q14" s="6"/>
    </row>
    <row r="15" spans="1:17" ht="15.75" customHeight="1" x14ac:dyDescent="0.25">
      <c r="B15" s="128"/>
      <c r="C15" s="161">
        <f>SUM(C4:C14)</f>
        <v>4201312.47</v>
      </c>
      <c r="D15" s="156">
        <f>SUM(D4:D14)</f>
        <v>231</v>
      </c>
      <c r="E15" s="161">
        <f>AVERAGE(E4:E14)</f>
        <v>18696.268983207741</v>
      </c>
      <c r="F15" s="158">
        <f>AVERAGE(F4:F14)</f>
        <v>0.52780547050189874</v>
      </c>
      <c r="G15" s="161">
        <f>AVERAGE(G4:G14)</f>
        <v>791.09238052124465</v>
      </c>
      <c r="H15" s="165"/>
      <c r="I15" s="163"/>
      <c r="J15" s="163"/>
    </row>
    <row r="16" spans="1:17" ht="15.75" customHeight="1" thickBot="1" x14ac:dyDescent="0.3">
      <c r="B16" s="129"/>
      <c r="C16" s="162"/>
      <c r="D16" s="157"/>
      <c r="E16" s="162"/>
      <c r="F16" s="159"/>
      <c r="G16" s="162"/>
      <c r="H16" s="165"/>
      <c r="I16" s="163"/>
      <c r="J16" s="163"/>
    </row>
    <row r="17" spans="2:23" ht="15.75" thickBot="1" x14ac:dyDescent="0.3">
      <c r="B17" s="65"/>
      <c r="C17" s="66"/>
      <c r="D17" s="66"/>
      <c r="E17" s="66"/>
      <c r="F17" s="66"/>
      <c r="G17" s="66"/>
      <c r="H17" s="66"/>
      <c r="I17" s="66"/>
      <c r="J17" s="66"/>
    </row>
    <row r="18" spans="2:23" x14ac:dyDescent="0.25">
      <c r="B18" s="77"/>
      <c r="C18" s="78"/>
      <c r="D18" s="78"/>
      <c r="E18" s="78"/>
      <c r="F18" s="78"/>
      <c r="G18" s="78"/>
      <c r="H18" s="78"/>
      <c r="I18" s="78"/>
      <c r="J18" s="78"/>
      <c r="K18" s="79"/>
      <c r="L18" s="79"/>
      <c r="M18" s="79"/>
      <c r="N18" s="79"/>
      <c r="O18" s="79"/>
      <c r="P18" s="79"/>
      <c r="Q18" s="79"/>
      <c r="R18" s="79"/>
      <c r="S18" s="79"/>
      <c r="T18" s="79"/>
      <c r="U18" s="79"/>
      <c r="V18" s="79"/>
      <c r="W18" s="80"/>
    </row>
    <row r="19" spans="2:23" x14ac:dyDescent="0.25">
      <c r="B19" s="81"/>
      <c r="C19" s="67"/>
      <c r="D19" s="67"/>
      <c r="E19" s="67"/>
      <c r="F19" s="67"/>
      <c r="G19" s="67"/>
      <c r="H19" s="67"/>
      <c r="I19" s="67"/>
      <c r="J19" s="67"/>
      <c r="K19" s="82"/>
      <c r="L19" s="82"/>
      <c r="M19" s="82"/>
      <c r="N19" s="82"/>
      <c r="O19" s="82"/>
      <c r="P19" s="82"/>
      <c r="Q19" s="82"/>
      <c r="R19" s="82"/>
      <c r="S19" s="82"/>
      <c r="T19" s="82"/>
      <c r="U19" s="82"/>
      <c r="V19" s="82"/>
      <c r="W19" s="83"/>
    </row>
    <row r="20" spans="2:23" x14ac:dyDescent="0.25">
      <c r="B20" s="81"/>
      <c r="C20" s="67"/>
      <c r="D20" s="67"/>
      <c r="E20" s="67"/>
      <c r="F20" s="67"/>
      <c r="G20" s="67"/>
      <c r="H20" s="67"/>
      <c r="I20" s="67"/>
      <c r="J20" s="67"/>
      <c r="K20" s="82"/>
      <c r="L20" s="82"/>
      <c r="M20" s="82"/>
      <c r="N20" s="82"/>
      <c r="O20" s="82"/>
      <c r="P20" s="82"/>
      <c r="Q20" s="82"/>
      <c r="R20" s="82"/>
      <c r="S20" s="82"/>
      <c r="T20" s="82"/>
      <c r="U20" s="82"/>
      <c r="V20" s="82"/>
      <c r="W20" s="83"/>
    </row>
    <row r="21" spans="2:23" x14ac:dyDescent="0.25">
      <c r="B21" s="81"/>
      <c r="C21" s="67"/>
      <c r="D21" s="67"/>
      <c r="E21" s="67"/>
      <c r="F21" s="67"/>
      <c r="G21" s="67"/>
      <c r="H21" s="67"/>
      <c r="I21" s="67"/>
      <c r="J21" s="67"/>
      <c r="K21" s="82"/>
      <c r="L21" s="82"/>
      <c r="M21" s="82"/>
      <c r="N21" s="82"/>
      <c r="O21" s="82"/>
      <c r="P21" s="82"/>
      <c r="Q21" s="82"/>
      <c r="R21" s="82"/>
      <c r="S21" s="82"/>
      <c r="T21" s="82"/>
      <c r="U21" s="82"/>
      <c r="V21" s="82"/>
      <c r="W21" s="83"/>
    </row>
    <row r="22" spans="2:23" x14ac:dyDescent="0.25">
      <c r="B22" s="81"/>
      <c r="C22" s="67"/>
      <c r="D22" s="67"/>
      <c r="E22" s="67"/>
      <c r="F22" s="67"/>
      <c r="G22" s="67"/>
      <c r="H22" s="67"/>
      <c r="I22" s="67"/>
      <c r="J22" s="67"/>
      <c r="K22" s="82"/>
      <c r="L22" s="82"/>
      <c r="M22" s="82"/>
      <c r="N22" s="82"/>
      <c r="O22" s="82"/>
      <c r="P22" s="82"/>
      <c r="Q22" s="82"/>
      <c r="R22" s="82"/>
      <c r="S22" s="82"/>
      <c r="T22" s="82"/>
      <c r="U22" s="82"/>
      <c r="V22" s="82"/>
      <c r="W22" s="83"/>
    </row>
    <row r="23" spans="2:23" x14ac:dyDescent="0.25">
      <c r="B23" s="81"/>
      <c r="C23" s="67"/>
      <c r="D23" s="67"/>
      <c r="E23" s="67"/>
      <c r="F23" s="67"/>
      <c r="G23" s="67"/>
      <c r="H23" s="67"/>
      <c r="I23" s="67"/>
      <c r="J23" s="67"/>
      <c r="K23" s="82"/>
      <c r="L23" s="82"/>
      <c r="M23" s="82"/>
      <c r="N23" s="82"/>
      <c r="O23" s="82"/>
      <c r="P23" s="82"/>
      <c r="Q23" s="82"/>
      <c r="R23" s="82"/>
      <c r="S23" s="82"/>
      <c r="T23" s="82"/>
      <c r="U23" s="82"/>
      <c r="V23" s="82"/>
      <c r="W23" s="83"/>
    </row>
    <row r="24" spans="2:23" x14ac:dyDescent="0.25">
      <c r="B24" s="81"/>
      <c r="C24" s="67"/>
      <c r="D24" s="67"/>
      <c r="E24" s="67"/>
      <c r="F24" s="67"/>
      <c r="G24" s="67"/>
      <c r="H24" s="67"/>
      <c r="I24" s="67"/>
      <c r="J24" s="67"/>
      <c r="K24" s="82"/>
      <c r="L24" s="82"/>
      <c r="M24" s="82"/>
      <c r="N24" s="82"/>
      <c r="O24" s="82"/>
      <c r="P24" s="82"/>
      <c r="Q24" s="82"/>
      <c r="R24" s="82"/>
      <c r="S24" s="82"/>
      <c r="T24" s="82"/>
      <c r="U24" s="82"/>
      <c r="V24" s="82"/>
      <c r="W24" s="83"/>
    </row>
    <row r="25" spans="2:23" x14ac:dyDescent="0.25">
      <c r="B25" s="81"/>
      <c r="C25" s="67"/>
      <c r="D25" s="67"/>
      <c r="E25" s="67"/>
      <c r="F25" s="67"/>
      <c r="G25" s="67"/>
      <c r="H25" s="67"/>
      <c r="I25" s="67"/>
      <c r="J25" s="67"/>
      <c r="K25" s="82"/>
      <c r="L25" s="82"/>
      <c r="M25" s="82"/>
      <c r="N25" s="82"/>
      <c r="O25" s="82"/>
      <c r="P25" s="82"/>
      <c r="Q25" s="82"/>
      <c r="R25" s="82"/>
      <c r="S25" s="82"/>
      <c r="T25" s="82"/>
      <c r="U25" s="82"/>
      <c r="V25" s="82"/>
      <c r="W25" s="83"/>
    </row>
    <row r="26" spans="2:23" x14ac:dyDescent="0.25">
      <c r="B26" s="81"/>
      <c r="C26" s="67"/>
      <c r="D26" s="67"/>
      <c r="E26" s="67"/>
      <c r="F26" s="67"/>
      <c r="G26" s="67"/>
      <c r="H26" s="67"/>
      <c r="I26" s="67"/>
      <c r="J26" s="67"/>
      <c r="K26" s="82"/>
      <c r="L26" s="82"/>
      <c r="M26" s="82"/>
      <c r="N26" s="82"/>
      <c r="O26" s="82"/>
      <c r="P26" s="82"/>
      <c r="Q26" s="82"/>
      <c r="R26" s="82"/>
      <c r="S26" s="82"/>
      <c r="T26" s="82"/>
      <c r="U26" s="82"/>
      <c r="V26" s="82"/>
      <c r="W26" s="83"/>
    </row>
    <row r="27" spans="2:23" x14ac:dyDescent="0.25">
      <c r="B27" s="81"/>
      <c r="C27" s="67"/>
      <c r="D27" s="67"/>
      <c r="E27" s="67"/>
      <c r="F27" s="67"/>
      <c r="G27" s="67"/>
      <c r="H27" s="67"/>
      <c r="I27" s="67"/>
      <c r="J27" s="67"/>
      <c r="K27" s="82"/>
      <c r="L27" s="82"/>
      <c r="M27" s="82"/>
      <c r="N27" s="82"/>
      <c r="O27" s="82"/>
      <c r="P27" s="82"/>
      <c r="Q27" s="82"/>
      <c r="R27" s="82"/>
      <c r="S27" s="82"/>
      <c r="T27" s="82"/>
      <c r="U27" s="82"/>
      <c r="V27" s="82"/>
      <c r="W27" s="83"/>
    </row>
    <row r="28" spans="2:23" x14ac:dyDescent="0.25">
      <c r="B28" s="81"/>
      <c r="C28" s="67"/>
      <c r="D28" s="67"/>
      <c r="E28" s="67"/>
      <c r="F28" s="67"/>
      <c r="G28" s="67"/>
      <c r="H28" s="67"/>
      <c r="I28" s="67"/>
      <c r="J28" s="67"/>
      <c r="K28" s="82"/>
      <c r="L28" s="82"/>
      <c r="M28" s="82"/>
      <c r="N28" s="82"/>
      <c r="O28" s="82"/>
      <c r="P28" s="82"/>
      <c r="Q28" s="82"/>
      <c r="R28" s="82"/>
      <c r="S28" s="82"/>
      <c r="T28" s="82"/>
      <c r="U28" s="82"/>
      <c r="V28" s="82"/>
      <c r="W28" s="83"/>
    </row>
    <row r="29" spans="2:23" x14ac:dyDescent="0.25">
      <c r="B29" s="81"/>
      <c r="C29" s="67"/>
      <c r="D29" s="67"/>
      <c r="E29" s="67"/>
      <c r="F29" s="67"/>
      <c r="G29" s="67"/>
      <c r="H29" s="67"/>
      <c r="I29" s="67"/>
      <c r="J29" s="67"/>
      <c r="K29" s="82"/>
      <c r="L29" s="82"/>
      <c r="M29" s="82"/>
      <c r="N29" s="82"/>
      <c r="O29" s="82"/>
      <c r="P29" s="82"/>
      <c r="Q29" s="82"/>
      <c r="R29" s="82"/>
      <c r="S29" s="82"/>
      <c r="T29" s="82"/>
      <c r="U29" s="82"/>
      <c r="V29" s="82"/>
      <c r="W29" s="83"/>
    </row>
    <row r="30" spans="2:23" x14ac:dyDescent="0.25">
      <c r="B30" s="81"/>
      <c r="C30" s="67"/>
      <c r="D30" s="67"/>
      <c r="E30" s="67"/>
      <c r="F30" s="67"/>
      <c r="G30" s="67"/>
      <c r="H30" s="67"/>
      <c r="I30" s="67"/>
      <c r="J30" s="67"/>
      <c r="K30" s="82"/>
      <c r="L30" s="82"/>
      <c r="M30" s="82"/>
      <c r="N30" s="82"/>
      <c r="O30" s="82"/>
      <c r="P30" s="82"/>
      <c r="Q30" s="82"/>
      <c r="R30" s="82"/>
      <c r="S30" s="82"/>
      <c r="T30" s="82"/>
      <c r="U30" s="82"/>
      <c r="V30" s="82"/>
      <c r="W30" s="83"/>
    </row>
    <row r="31" spans="2:23" x14ac:dyDescent="0.25">
      <c r="B31" s="81"/>
      <c r="C31" s="67"/>
      <c r="D31" s="67"/>
      <c r="E31" s="67"/>
      <c r="F31" s="67"/>
      <c r="G31" s="67"/>
      <c r="H31" s="67"/>
      <c r="I31" s="67"/>
      <c r="J31" s="67"/>
      <c r="K31" s="82"/>
      <c r="L31" s="82"/>
      <c r="M31" s="82"/>
      <c r="N31" s="82"/>
      <c r="O31" s="82"/>
      <c r="P31" s="82"/>
      <c r="Q31" s="82"/>
      <c r="R31" s="82"/>
      <c r="S31" s="82"/>
      <c r="T31" s="82"/>
      <c r="U31" s="82"/>
      <c r="V31" s="82"/>
      <c r="W31" s="83"/>
    </row>
    <row r="32" spans="2:23" x14ac:dyDescent="0.25">
      <c r="B32" s="81"/>
      <c r="C32" s="67"/>
      <c r="D32" s="67"/>
      <c r="E32" s="67"/>
      <c r="F32" s="67"/>
      <c r="G32" s="67"/>
      <c r="H32" s="67"/>
      <c r="I32" s="67"/>
      <c r="J32" s="67"/>
      <c r="K32" s="82"/>
      <c r="L32" s="82"/>
      <c r="M32" s="82"/>
      <c r="N32" s="82"/>
      <c r="O32" s="82"/>
      <c r="P32" s="82"/>
      <c r="Q32" s="82"/>
      <c r="R32" s="82"/>
      <c r="S32" s="82"/>
      <c r="T32" s="82"/>
      <c r="U32" s="82"/>
      <c r="V32" s="82"/>
      <c r="W32" s="83"/>
    </row>
    <row r="33" spans="2:23" x14ac:dyDescent="0.25">
      <c r="B33" s="81"/>
      <c r="C33" s="67"/>
      <c r="D33" s="67"/>
      <c r="E33" s="67"/>
      <c r="F33" s="67"/>
      <c r="G33" s="67"/>
      <c r="H33" s="67"/>
      <c r="I33" s="67"/>
      <c r="J33" s="67"/>
      <c r="K33" s="82"/>
      <c r="L33" s="82"/>
      <c r="M33" s="82"/>
      <c r="N33" s="82"/>
      <c r="O33" s="82"/>
      <c r="P33" s="82"/>
      <c r="Q33" s="82"/>
      <c r="R33" s="82"/>
      <c r="S33" s="82"/>
      <c r="T33" s="82"/>
      <c r="U33" s="82"/>
      <c r="V33" s="82"/>
      <c r="W33" s="83"/>
    </row>
    <row r="34" spans="2:23" x14ac:dyDescent="0.25">
      <c r="B34" s="81"/>
      <c r="C34" s="67"/>
      <c r="D34" s="67"/>
      <c r="E34" s="67"/>
      <c r="F34" s="67"/>
      <c r="G34" s="67"/>
      <c r="H34" s="67"/>
      <c r="I34" s="67"/>
      <c r="J34" s="67"/>
      <c r="K34" s="82"/>
      <c r="L34" s="82"/>
      <c r="M34" s="82"/>
      <c r="N34" s="82"/>
      <c r="O34" s="82"/>
      <c r="P34" s="82"/>
      <c r="Q34" s="82"/>
      <c r="R34" s="82"/>
      <c r="S34" s="82"/>
      <c r="T34" s="82"/>
      <c r="U34" s="82"/>
      <c r="V34" s="82"/>
      <c r="W34" s="83"/>
    </row>
    <row r="35" spans="2:23" x14ac:dyDescent="0.25">
      <c r="B35" s="81"/>
      <c r="C35" s="67"/>
      <c r="D35" s="67"/>
      <c r="E35" s="67"/>
      <c r="F35" s="67"/>
      <c r="G35" s="67"/>
      <c r="H35" s="67"/>
      <c r="I35" s="67"/>
      <c r="J35" s="67"/>
      <c r="K35" s="82"/>
      <c r="L35" s="82"/>
      <c r="M35" s="82"/>
      <c r="N35" s="82"/>
      <c r="O35" s="82"/>
      <c r="P35" s="82"/>
      <c r="Q35" s="82"/>
      <c r="R35" s="82"/>
      <c r="S35" s="82"/>
      <c r="T35" s="82"/>
      <c r="U35" s="82"/>
      <c r="V35" s="82"/>
      <c r="W35" s="83"/>
    </row>
    <row r="36" spans="2:23" x14ac:dyDescent="0.25">
      <c r="B36" s="81"/>
      <c r="C36" s="67"/>
      <c r="D36" s="67"/>
      <c r="E36" s="67"/>
      <c r="F36" s="67"/>
      <c r="G36" s="67"/>
      <c r="H36" s="67"/>
      <c r="I36" s="67"/>
      <c r="J36" s="67"/>
      <c r="K36" s="82"/>
      <c r="L36" s="82"/>
      <c r="M36" s="82"/>
      <c r="N36" s="82"/>
      <c r="O36" s="82"/>
      <c r="P36" s="82"/>
      <c r="Q36" s="82"/>
      <c r="R36" s="82"/>
      <c r="S36" s="82"/>
      <c r="T36" s="82"/>
      <c r="U36" s="82"/>
      <c r="V36" s="82"/>
      <c r="W36" s="83"/>
    </row>
    <row r="37" spans="2:23" x14ac:dyDescent="0.25">
      <c r="B37" s="84"/>
      <c r="C37" s="66"/>
      <c r="D37" s="66"/>
      <c r="E37" s="66"/>
      <c r="F37" s="66"/>
      <c r="G37" s="66"/>
      <c r="H37" s="66"/>
      <c r="I37" s="66"/>
      <c r="J37" s="66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83"/>
    </row>
    <row r="38" spans="2:23" x14ac:dyDescent="0.25">
      <c r="B38" s="84"/>
      <c r="C38" s="66"/>
      <c r="D38" s="66"/>
      <c r="E38" s="66"/>
      <c r="F38" s="66"/>
      <c r="G38" s="66"/>
      <c r="H38" s="66"/>
      <c r="I38" s="66"/>
      <c r="J38" s="66"/>
      <c r="K38" s="82"/>
      <c r="L38" s="82"/>
      <c r="M38" s="82"/>
      <c r="N38" s="82"/>
      <c r="O38" s="82"/>
      <c r="P38" s="82"/>
      <c r="Q38" s="82"/>
      <c r="R38" s="82"/>
      <c r="S38" s="82"/>
      <c r="T38" s="82"/>
      <c r="U38" s="82"/>
      <c r="V38" s="82"/>
      <c r="W38" s="83"/>
    </row>
    <row r="39" spans="2:23" x14ac:dyDescent="0.25">
      <c r="B39" s="84"/>
      <c r="C39" s="66"/>
      <c r="D39" s="66"/>
      <c r="E39" s="66"/>
      <c r="F39" s="66"/>
      <c r="G39" s="66"/>
      <c r="H39" s="66"/>
      <c r="I39" s="66"/>
      <c r="J39" s="66"/>
      <c r="K39" s="82"/>
      <c r="L39" s="82"/>
      <c r="M39" s="82"/>
      <c r="N39" s="82"/>
      <c r="O39" s="82"/>
      <c r="P39" s="82"/>
      <c r="Q39" s="82"/>
      <c r="R39" s="82"/>
      <c r="S39" s="82"/>
      <c r="T39" s="82"/>
      <c r="U39" s="82"/>
      <c r="V39" s="82"/>
      <c r="W39" s="83"/>
    </row>
    <row r="40" spans="2:23" x14ac:dyDescent="0.25">
      <c r="B40" s="84"/>
      <c r="C40" s="66"/>
      <c r="D40" s="66"/>
      <c r="E40" s="66"/>
      <c r="F40" s="66"/>
      <c r="G40" s="66"/>
      <c r="H40" s="66"/>
      <c r="I40" s="66"/>
      <c r="J40" s="66"/>
      <c r="K40" s="82"/>
      <c r="L40" s="82"/>
      <c r="M40" s="82"/>
      <c r="N40" s="82"/>
      <c r="O40" s="82"/>
      <c r="P40" s="82"/>
      <c r="Q40" s="82"/>
      <c r="R40" s="82"/>
      <c r="S40" s="82"/>
      <c r="T40" s="82"/>
      <c r="U40" s="82"/>
      <c r="V40" s="82"/>
      <c r="W40" s="83"/>
    </row>
    <row r="41" spans="2:23" x14ac:dyDescent="0.25">
      <c r="B41" s="84"/>
      <c r="C41" s="66"/>
      <c r="D41" s="66"/>
      <c r="E41" s="66"/>
      <c r="F41" s="66"/>
      <c r="G41" s="66"/>
      <c r="H41" s="66"/>
      <c r="I41" s="66"/>
      <c r="J41" s="66"/>
      <c r="K41" s="82"/>
      <c r="L41" s="82"/>
      <c r="M41" s="82"/>
      <c r="N41" s="82"/>
      <c r="O41" s="82"/>
      <c r="P41" s="82"/>
      <c r="Q41" s="82"/>
      <c r="R41" s="82"/>
      <c r="S41" s="82"/>
      <c r="T41" s="82"/>
      <c r="U41" s="82"/>
      <c r="V41" s="82"/>
      <c r="W41" s="83"/>
    </row>
    <row r="42" spans="2:23" x14ac:dyDescent="0.25">
      <c r="B42" s="84"/>
      <c r="C42" s="66"/>
      <c r="D42" s="66"/>
      <c r="E42" s="66"/>
      <c r="F42" s="66"/>
      <c r="G42" s="66"/>
      <c r="H42" s="66"/>
      <c r="I42" s="66"/>
      <c r="J42" s="66"/>
      <c r="K42" s="82"/>
      <c r="L42" s="82"/>
      <c r="M42" s="82"/>
      <c r="N42" s="82"/>
      <c r="O42" s="82"/>
      <c r="P42" s="82"/>
      <c r="Q42" s="82"/>
      <c r="R42" s="82"/>
      <c r="S42" s="82"/>
      <c r="T42" s="82"/>
      <c r="U42" s="82"/>
      <c r="V42" s="82"/>
      <c r="W42" s="83"/>
    </row>
    <row r="43" spans="2:23" x14ac:dyDescent="0.25">
      <c r="B43" s="84"/>
      <c r="C43" s="66"/>
      <c r="D43" s="66"/>
      <c r="E43" s="66"/>
      <c r="F43" s="66"/>
      <c r="G43" s="66"/>
      <c r="H43" s="66"/>
      <c r="I43" s="66"/>
      <c r="J43" s="66"/>
      <c r="K43" s="82"/>
      <c r="L43" s="82"/>
      <c r="M43" s="82"/>
      <c r="N43" s="82"/>
      <c r="O43" s="82"/>
      <c r="P43" s="82"/>
      <c r="Q43" s="82"/>
      <c r="R43" s="82"/>
      <c r="S43" s="82"/>
      <c r="T43" s="82"/>
      <c r="U43" s="82"/>
      <c r="V43" s="82"/>
      <c r="W43" s="83"/>
    </row>
    <row r="44" spans="2:23" x14ac:dyDescent="0.25">
      <c r="B44" s="84"/>
      <c r="C44" s="66"/>
      <c r="D44" s="66"/>
      <c r="E44" s="66"/>
      <c r="F44" s="66"/>
      <c r="G44" s="66"/>
      <c r="H44" s="66"/>
      <c r="I44" s="66"/>
      <c r="J44" s="66"/>
      <c r="K44" s="82"/>
      <c r="L44" s="82"/>
      <c r="M44" s="82"/>
      <c r="N44" s="82"/>
      <c r="O44" s="82"/>
      <c r="P44" s="82"/>
      <c r="Q44" s="82"/>
      <c r="R44" s="82"/>
      <c r="S44" s="82"/>
      <c r="T44" s="82"/>
      <c r="U44" s="82"/>
      <c r="V44" s="82"/>
      <c r="W44" s="83"/>
    </row>
    <row r="45" spans="2:23" x14ac:dyDescent="0.25">
      <c r="B45" s="84"/>
      <c r="C45" s="66"/>
      <c r="D45" s="66"/>
      <c r="E45" s="66"/>
      <c r="F45" s="66"/>
      <c r="G45" s="66"/>
      <c r="H45" s="66"/>
      <c r="I45" s="66"/>
      <c r="J45" s="66"/>
      <c r="K45" s="82"/>
      <c r="L45" s="82"/>
      <c r="M45" s="82"/>
      <c r="N45" s="82"/>
      <c r="O45" s="82"/>
      <c r="P45" s="82"/>
      <c r="Q45" s="82"/>
      <c r="R45" s="82"/>
      <c r="S45" s="82"/>
      <c r="T45" s="82"/>
      <c r="U45" s="82"/>
      <c r="V45" s="82"/>
      <c r="W45" s="83"/>
    </row>
    <row r="46" spans="2:23" x14ac:dyDescent="0.25">
      <c r="B46" s="84"/>
      <c r="C46" s="66"/>
      <c r="D46" s="66"/>
      <c r="E46" s="66"/>
      <c r="F46" s="66"/>
      <c r="G46" s="66"/>
      <c r="H46" s="66"/>
      <c r="I46" s="66"/>
      <c r="J46" s="66"/>
      <c r="K46" s="82"/>
      <c r="L46" s="82"/>
      <c r="M46" s="82"/>
      <c r="N46" s="82"/>
      <c r="O46" s="82"/>
      <c r="P46" s="82"/>
      <c r="Q46" s="82"/>
      <c r="R46" s="82"/>
      <c r="S46" s="82"/>
      <c r="T46" s="82"/>
      <c r="U46" s="82"/>
      <c r="V46" s="82"/>
      <c r="W46" s="83"/>
    </row>
    <row r="47" spans="2:23" x14ac:dyDescent="0.25">
      <c r="B47" s="84"/>
      <c r="C47" s="66"/>
      <c r="D47" s="66"/>
      <c r="E47" s="66"/>
      <c r="F47" s="66"/>
      <c r="G47" s="66"/>
      <c r="H47" s="66"/>
      <c r="I47" s="66"/>
      <c r="J47" s="66"/>
      <c r="K47" s="82"/>
      <c r="L47" s="82"/>
      <c r="M47" s="82"/>
      <c r="N47" s="82"/>
      <c r="O47" s="82"/>
      <c r="P47" s="82"/>
      <c r="Q47" s="82"/>
      <c r="R47" s="82"/>
      <c r="S47" s="82"/>
      <c r="T47" s="82"/>
      <c r="U47" s="82"/>
      <c r="V47" s="82"/>
      <c r="W47" s="83"/>
    </row>
    <row r="48" spans="2:23" ht="15.75" thickBot="1" x14ac:dyDescent="0.3">
      <c r="B48" s="85"/>
      <c r="C48" s="86"/>
      <c r="D48" s="86"/>
      <c r="E48" s="86"/>
      <c r="F48" s="86"/>
      <c r="G48" s="86"/>
      <c r="H48" s="86"/>
      <c r="I48" s="86"/>
      <c r="J48" s="86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  <c r="W48" s="88"/>
    </row>
    <row r="49" spans="2:23" ht="15.75" thickBot="1" x14ac:dyDescent="0.3"/>
    <row r="50" spans="2:23" x14ac:dyDescent="0.25">
      <c r="B50" s="89"/>
      <c r="C50" s="90"/>
      <c r="D50" s="90"/>
      <c r="E50" s="90"/>
      <c r="F50" s="90"/>
      <c r="G50" s="90"/>
      <c r="H50" s="90"/>
      <c r="I50" s="90"/>
      <c r="J50" s="90"/>
      <c r="K50" s="79"/>
      <c r="L50" s="79"/>
      <c r="M50" s="79"/>
      <c r="N50" s="79"/>
      <c r="O50" s="79"/>
      <c r="P50" s="79"/>
      <c r="Q50" s="79"/>
      <c r="R50" s="79"/>
      <c r="S50" s="79"/>
      <c r="T50" s="79"/>
      <c r="U50" s="79"/>
      <c r="V50" s="79"/>
      <c r="W50" s="80"/>
    </row>
    <row r="51" spans="2:23" x14ac:dyDescent="0.25">
      <c r="B51" s="84"/>
      <c r="C51" s="66"/>
      <c r="D51" s="66"/>
      <c r="E51" s="66"/>
      <c r="F51" s="66"/>
      <c r="G51" s="66"/>
      <c r="H51" s="66"/>
      <c r="I51" s="66"/>
      <c r="J51" s="66"/>
      <c r="K51" s="82"/>
      <c r="L51" s="82"/>
      <c r="M51" s="82"/>
      <c r="N51" s="82"/>
      <c r="O51" s="82"/>
      <c r="P51" s="82"/>
      <c r="Q51" s="82"/>
      <c r="R51" s="82"/>
      <c r="S51" s="82"/>
      <c r="T51" s="82"/>
      <c r="U51" s="82"/>
      <c r="V51" s="82"/>
      <c r="W51" s="83"/>
    </row>
    <row r="52" spans="2:23" x14ac:dyDescent="0.25">
      <c r="B52" s="84"/>
      <c r="C52" s="66"/>
      <c r="D52" s="66"/>
      <c r="E52" s="66"/>
      <c r="F52" s="66"/>
      <c r="G52" s="66"/>
      <c r="H52" s="66"/>
      <c r="I52" s="66"/>
      <c r="J52" s="66"/>
      <c r="K52" s="82"/>
      <c r="L52" s="82"/>
      <c r="M52" s="82"/>
      <c r="N52" s="82"/>
      <c r="O52" s="82"/>
      <c r="P52" s="82"/>
      <c r="Q52" s="82"/>
      <c r="R52" s="82"/>
      <c r="S52" s="82"/>
      <c r="T52" s="82"/>
      <c r="U52" s="82"/>
      <c r="V52" s="82"/>
      <c r="W52" s="83"/>
    </row>
    <row r="53" spans="2:23" x14ac:dyDescent="0.25">
      <c r="B53" s="84"/>
      <c r="C53" s="66"/>
      <c r="D53" s="66"/>
      <c r="E53" s="66"/>
      <c r="F53" s="66"/>
      <c r="G53" s="66"/>
      <c r="H53" s="66"/>
      <c r="I53" s="66"/>
      <c r="J53" s="66"/>
      <c r="K53" s="82"/>
      <c r="L53" s="82"/>
      <c r="M53" s="82"/>
      <c r="N53" s="82"/>
      <c r="O53" s="82"/>
      <c r="P53" s="82"/>
      <c r="Q53" s="82"/>
      <c r="R53" s="82"/>
      <c r="S53" s="82"/>
      <c r="T53" s="82"/>
      <c r="U53" s="82"/>
      <c r="V53" s="82"/>
      <c r="W53" s="83"/>
    </row>
    <row r="54" spans="2:23" x14ac:dyDescent="0.25">
      <c r="B54" s="84"/>
      <c r="C54" s="66"/>
      <c r="D54" s="66"/>
      <c r="E54" s="66"/>
      <c r="F54" s="66"/>
      <c r="G54" s="66"/>
      <c r="H54" s="66"/>
      <c r="I54" s="66"/>
      <c r="J54" s="66"/>
      <c r="K54" s="82"/>
      <c r="L54" s="82"/>
      <c r="M54" s="82"/>
      <c r="N54" s="82"/>
      <c r="O54" s="82"/>
      <c r="P54" s="82"/>
      <c r="Q54" s="82"/>
      <c r="R54" s="82"/>
      <c r="S54" s="82"/>
      <c r="T54" s="82"/>
      <c r="U54" s="82"/>
      <c r="V54" s="82"/>
      <c r="W54" s="83"/>
    </row>
    <row r="55" spans="2:23" x14ac:dyDescent="0.25">
      <c r="B55" s="84"/>
      <c r="C55" s="66"/>
      <c r="D55" s="66"/>
      <c r="E55" s="66"/>
      <c r="F55" s="66"/>
      <c r="G55" s="66"/>
      <c r="H55" s="66"/>
      <c r="I55" s="66"/>
      <c r="J55" s="66"/>
      <c r="K55" s="82"/>
      <c r="L55" s="82"/>
      <c r="M55" s="82"/>
      <c r="N55" s="82"/>
      <c r="O55" s="82"/>
      <c r="P55" s="82"/>
      <c r="Q55" s="82"/>
      <c r="R55" s="82"/>
      <c r="S55" s="82"/>
      <c r="T55" s="82"/>
      <c r="U55" s="82"/>
      <c r="V55" s="82"/>
      <c r="W55" s="83"/>
    </row>
    <row r="56" spans="2:23" x14ac:dyDescent="0.25">
      <c r="B56" s="84"/>
      <c r="C56" s="66"/>
      <c r="D56" s="66"/>
      <c r="E56" s="66"/>
      <c r="F56" s="66"/>
      <c r="G56" s="66"/>
      <c r="H56" s="66"/>
      <c r="I56" s="66"/>
      <c r="J56" s="66"/>
      <c r="K56" s="82"/>
      <c r="L56" s="82"/>
      <c r="M56" s="82"/>
      <c r="N56" s="82"/>
      <c r="O56" s="82"/>
      <c r="P56" s="82"/>
      <c r="Q56" s="82"/>
      <c r="R56" s="82"/>
      <c r="S56" s="82"/>
      <c r="T56" s="82"/>
      <c r="U56" s="82"/>
      <c r="V56" s="82"/>
      <c r="W56" s="83"/>
    </row>
    <row r="57" spans="2:23" x14ac:dyDescent="0.25">
      <c r="B57" s="84"/>
      <c r="C57" s="66"/>
      <c r="D57" s="66"/>
      <c r="E57" s="66"/>
      <c r="F57" s="66"/>
      <c r="G57" s="66"/>
      <c r="H57" s="66"/>
      <c r="I57" s="66"/>
      <c r="J57" s="66"/>
      <c r="K57" s="82"/>
      <c r="L57" s="82"/>
      <c r="M57" s="82"/>
      <c r="N57" s="82"/>
      <c r="O57" s="82"/>
      <c r="P57" s="82"/>
      <c r="Q57" s="82"/>
      <c r="R57" s="82"/>
      <c r="S57" s="82"/>
      <c r="T57" s="82"/>
      <c r="U57" s="82"/>
      <c r="V57" s="82"/>
      <c r="W57" s="83"/>
    </row>
    <row r="58" spans="2:23" x14ac:dyDescent="0.25">
      <c r="B58" s="84"/>
      <c r="C58" s="66"/>
      <c r="D58" s="66"/>
      <c r="E58" s="66"/>
      <c r="F58" s="66"/>
      <c r="G58" s="66"/>
      <c r="H58" s="66"/>
      <c r="I58" s="66"/>
      <c r="J58" s="66"/>
      <c r="K58" s="82"/>
      <c r="L58" s="82"/>
      <c r="M58" s="82"/>
      <c r="N58" s="82"/>
      <c r="O58" s="82"/>
      <c r="P58" s="82"/>
      <c r="Q58" s="82"/>
      <c r="R58" s="82"/>
      <c r="S58" s="82"/>
      <c r="T58" s="82"/>
      <c r="U58" s="82"/>
      <c r="V58" s="82"/>
      <c r="W58" s="83"/>
    </row>
    <row r="59" spans="2:23" x14ac:dyDescent="0.25">
      <c r="B59" s="84"/>
      <c r="C59" s="66"/>
      <c r="D59" s="66"/>
      <c r="E59" s="66"/>
      <c r="F59" s="66"/>
      <c r="G59" s="66"/>
      <c r="H59" s="66"/>
      <c r="I59" s="66"/>
      <c r="J59" s="66"/>
      <c r="K59" s="82"/>
      <c r="L59" s="82"/>
      <c r="M59" s="82"/>
      <c r="N59" s="82"/>
      <c r="O59" s="82"/>
      <c r="P59" s="82"/>
      <c r="Q59" s="82"/>
      <c r="R59" s="82"/>
      <c r="S59" s="82"/>
      <c r="T59" s="82"/>
      <c r="U59" s="82"/>
      <c r="V59" s="82"/>
      <c r="W59" s="83"/>
    </row>
    <row r="60" spans="2:23" x14ac:dyDescent="0.25">
      <c r="B60" s="84"/>
      <c r="C60" s="66"/>
      <c r="D60" s="66"/>
      <c r="E60" s="66"/>
      <c r="F60" s="66"/>
      <c r="G60" s="66"/>
      <c r="H60" s="66"/>
      <c r="I60" s="66"/>
      <c r="J60" s="66"/>
      <c r="K60" s="82"/>
      <c r="L60" s="82"/>
      <c r="M60" s="82"/>
      <c r="N60" s="82"/>
      <c r="O60" s="82"/>
      <c r="P60" s="82"/>
      <c r="Q60" s="82"/>
      <c r="R60" s="82"/>
      <c r="S60" s="82"/>
      <c r="T60" s="82"/>
      <c r="U60" s="82"/>
      <c r="V60" s="82"/>
      <c r="W60" s="83"/>
    </row>
    <row r="61" spans="2:23" x14ac:dyDescent="0.25">
      <c r="B61" s="84"/>
      <c r="C61" s="66"/>
      <c r="D61" s="66"/>
      <c r="E61" s="66"/>
      <c r="F61" s="66"/>
      <c r="G61" s="66"/>
      <c r="H61" s="66"/>
      <c r="I61" s="66"/>
      <c r="J61" s="66"/>
      <c r="K61" s="82"/>
      <c r="L61" s="82"/>
      <c r="M61" s="82"/>
      <c r="N61" s="82"/>
      <c r="O61" s="82"/>
      <c r="P61" s="82"/>
      <c r="Q61" s="82"/>
      <c r="R61" s="82"/>
      <c r="S61" s="82"/>
      <c r="T61" s="82"/>
      <c r="U61" s="82"/>
      <c r="V61" s="82"/>
      <c r="W61" s="83"/>
    </row>
    <row r="62" spans="2:23" x14ac:dyDescent="0.25">
      <c r="B62" s="84"/>
      <c r="C62" s="66"/>
      <c r="D62" s="66"/>
      <c r="E62" s="66"/>
      <c r="F62" s="66"/>
      <c r="G62" s="66"/>
      <c r="H62" s="66"/>
      <c r="I62" s="66"/>
      <c r="J62" s="66"/>
      <c r="K62" s="82"/>
      <c r="L62" s="82"/>
      <c r="M62" s="82"/>
      <c r="N62" s="82"/>
      <c r="O62" s="82"/>
      <c r="P62" s="82"/>
      <c r="Q62" s="82"/>
      <c r="R62" s="82"/>
      <c r="S62" s="82"/>
      <c r="T62" s="82"/>
      <c r="U62" s="82"/>
      <c r="V62" s="82"/>
      <c r="W62" s="83"/>
    </row>
    <row r="63" spans="2:23" x14ac:dyDescent="0.25">
      <c r="B63" s="84"/>
      <c r="C63" s="66"/>
      <c r="D63" s="66"/>
      <c r="E63" s="66"/>
      <c r="F63" s="66"/>
      <c r="G63" s="66"/>
      <c r="H63" s="66"/>
      <c r="I63" s="66"/>
      <c r="J63" s="66"/>
      <c r="K63" s="82"/>
      <c r="L63" s="82"/>
      <c r="M63" s="82"/>
      <c r="N63" s="82"/>
      <c r="O63" s="82"/>
      <c r="P63" s="82"/>
      <c r="Q63" s="82"/>
      <c r="R63" s="82"/>
      <c r="S63" s="82"/>
      <c r="T63" s="82"/>
      <c r="U63" s="82"/>
      <c r="V63" s="82"/>
      <c r="W63" s="83"/>
    </row>
    <row r="64" spans="2:23" x14ac:dyDescent="0.25">
      <c r="B64" s="84"/>
      <c r="C64" s="66"/>
      <c r="D64" s="66"/>
      <c r="E64" s="66"/>
      <c r="F64" s="66"/>
      <c r="G64" s="66"/>
      <c r="H64" s="66"/>
      <c r="I64" s="66"/>
      <c r="J64" s="66"/>
      <c r="K64" s="82"/>
      <c r="L64" s="82"/>
      <c r="M64" s="82"/>
      <c r="N64" s="82"/>
      <c r="O64" s="82"/>
      <c r="P64" s="82"/>
      <c r="Q64" s="82"/>
      <c r="R64" s="82"/>
      <c r="S64" s="82"/>
      <c r="T64" s="82"/>
      <c r="U64" s="82"/>
      <c r="V64" s="82"/>
      <c r="W64" s="83"/>
    </row>
    <row r="65" spans="2:23" x14ac:dyDescent="0.25">
      <c r="B65" s="84"/>
      <c r="C65" s="66"/>
      <c r="D65" s="66"/>
      <c r="E65" s="66"/>
      <c r="F65" s="66"/>
      <c r="G65" s="66"/>
      <c r="H65" s="66"/>
      <c r="I65" s="66"/>
      <c r="J65" s="66"/>
      <c r="K65" s="82"/>
      <c r="L65" s="82"/>
      <c r="M65" s="82"/>
      <c r="N65" s="82"/>
      <c r="O65" s="82"/>
      <c r="P65" s="82"/>
      <c r="Q65" s="82"/>
      <c r="R65" s="82"/>
      <c r="S65" s="82"/>
      <c r="T65" s="82"/>
      <c r="U65" s="82"/>
      <c r="V65" s="82"/>
      <c r="W65" s="83"/>
    </row>
    <row r="66" spans="2:23" x14ac:dyDescent="0.25">
      <c r="B66" s="84"/>
      <c r="C66" s="66"/>
      <c r="D66" s="66"/>
      <c r="E66" s="66"/>
      <c r="F66" s="66"/>
      <c r="G66" s="66"/>
      <c r="H66" s="66"/>
      <c r="I66" s="66"/>
      <c r="J66" s="66"/>
      <c r="K66" s="82"/>
      <c r="L66" s="82"/>
      <c r="M66" s="82"/>
      <c r="N66" s="82"/>
      <c r="O66" s="82"/>
      <c r="P66" s="82"/>
      <c r="Q66" s="82"/>
      <c r="R66" s="82"/>
      <c r="S66" s="82"/>
      <c r="T66" s="82"/>
      <c r="U66" s="82"/>
      <c r="V66" s="82"/>
      <c r="W66" s="83"/>
    </row>
    <row r="67" spans="2:23" x14ac:dyDescent="0.25">
      <c r="B67" s="84"/>
      <c r="C67" s="66"/>
      <c r="D67" s="66"/>
      <c r="E67" s="66"/>
      <c r="F67" s="66"/>
      <c r="G67" s="66"/>
      <c r="H67" s="66"/>
      <c r="I67" s="66"/>
      <c r="J67" s="66"/>
      <c r="K67" s="82"/>
      <c r="L67" s="82"/>
      <c r="M67" s="82"/>
      <c r="N67" s="82"/>
      <c r="O67" s="82"/>
      <c r="P67" s="82"/>
      <c r="Q67" s="82"/>
      <c r="R67" s="82"/>
      <c r="S67" s="82"/>
      <c r="T67" s="82"/>
      <c r="U67" s="82"/>
      <c r="V67" s="82"/>
      <c r="W67" s="83"/>
    </row>
    <row r="68" spans="2:23" x14ac:dyDescent="0.25">
      <c r="B68" s="84"/>
      <c r="C68" s="66"/>
      <c r="D68" s="66"/>
      <c r="E68" s="66"/>
      <c r="F68" s="66"/>
      <c r="G68" s="66"/>
      <c r="H68" s="66"/>
      <c r="I68" s="66"/>
      <c r="J68" s="66"/>
      <c r="K68" s="82"/>
      <c r="L68" s="82"/>
      <c r="M68" s="82"/>
      <c r="N68" s="82"/>
      <c r="O68" s="82"/>
      <c r="P68" s="82"/>
      <c r="Q68" s="82"/>
      <c r="R68" s="82"/>
      <c r="S68" s="82"/>
      <c r="T68" s="82"/>
      <c r="U68" s="82"/>
      <c r="V68" s="82"/>
      <c r="W68" s="83"/>
    </row>
    <row r="69" spans="2:23" x14ac:dyDescent="0.25">
      <c r="B69" s="84"/>
      <c r="C69" s="66"/>
      <c r="D69" s="66"/>
      <c r="E69" s="66"/>
      <c r="F69" s="66"/>
      <c r="G69" s="66"/>
      <c r="H69" s="66"/>
      <c r="I69" s="66"/>
      <c r="J69" s="66"/>
      <c r="K69" s="82"/>
      <c r="L69" s="82"/>
      <c r="M69" s="82"/>
      <c r="N69" s="82"/>
      <c r="O69" s="82"/>
      <c r="P69" s="82"/>
      <c r="Q69" s="82"/>
      <c r="R69" s="82"/>
      <c r="S69" s="82"/>
      <c r="T69" s="82"/>
      <c r="U69" s="82"/>
      <c r="V69" s="82"/>
      <c r="W69" s="83"/>
    </row>
    <row r="70" spans="2:23" x14ac:dyDescent="0.25">
      <c r="B70" s="84"/>
      <c r="C70" s="66"/>
      <c r="D70" s="66"/>
      <c r="E70" s="66"/>
      <c r="F70" s="66"/>
      <c r="G70" s="66"/>
      <c r="H70" s="66"/>
      <c r="I70" s="66"/>
      <c r="J70" s="66"/>
      <c r="K70" s="82"/>
      <c r="L70" s="82"/>
      <c r="M70" s="82"/>
      <c r="N70" s="82"/>
      <c r="O70" s="82"/>
      <c r="P70" s="82"/>
      <c r="Q70" s="82"/>
      <c r="R70" s="82"/>
      <c r="S70" s="82"/>
      <c r="T70" s="82"/>
      <c r="U70" s="82"/>
      <c r="V70" s="82"/>
      <c r="W70" s="83"/>
    </row>
    <row r="71" spans="2:23" x14ac:dyDescent="0.25">
      <c r="B71" s="84"/>
      <c r="C71" s="66"/>
      <c r="D71" s="66"/>
      <c r="E71" s="66"/>
      <c r="F71" s="66"/>
      <c r="G71" s="66"/>
      <c r="H71" s="66"/>
      <c r="I71" s="66"/>
      <c r="J71" s="66"/>
      <c r="K71" s="82"/>
      <c r="L71" s="82"/>
      <c r="M71" s="82"/>
      <c r="N71" s="82"/>
      <c r="O71" s="82"/>
      <c r="P71" s="82"/>
      <c r="Q71" s="82"/>
      <c r="R71" s="82"/>
      <c r="S71" s="82"/>
      <c r="T71" s="82"/>
      <c r="U71" s="82"/>
      <c r="V71" s="82"/>
      <c r="W71" s="83"/>
    </row>
    <row r="72" spans="2:23" x14ac:dyDescent="0.25">
      <c r="B72" s="84"/>
      <c r="C72" s="66"/>
      <c r="D72" s="66"/>
      <c r="E72" s="66"/>
      <c r="F72" s="66"/>
      <c r="G72" s="66"/>
      <c r="H72" s="66"/>
      <c r="I72" s="66"/>
      <c r="J72" s="66"/>
      <c r="K72" s="82"/>
      <c r="L72" s="82"/>
      <c r="M72" s="82"/>
      <c r="N72" s="82"/>
      <c r="O72" s="82"/>
      <c r="P72" s="82"/>
      <c r="Q72" s="82"/>
      <c r="R72" s="82"/>
      <c r="S72" s="82"/>
      <c r="T72" s="82"/>
      <c r="U72" s="82"/>
      <c r="V72" s="82"/>
      <c r="W72" s="83"/>
    </row>
    <row r="73" spans="2:23" x14ac:dyDescent="0.25">
      <c r="B73" s="84"/>
      <c r="C73" s="66"/>
      <c r="D73" s="66"/>
      <c r="E73" s="66"/>
      <c r="F73" s="66"/>
      <c r="G73" s="66"/>
      <c r="H73" s="66"/>
      <c r="I73" s="66"/>
      <c r="J73" s="66"/>
      <c r="K73" s="82"/>
      <c r="L73" s="82"/>
      <c r="M73" s="82"/>
      <c r="N73" s="82"/>
      <c r="O73" s="82"/>
      <c r="P73" s="82"/>
      <c r="Q73" s="82"/>
      <c r="R73" s="82"/>
      <c r="S73" s="82"/>
      <c r="T73" s="82"/>
      <c r="U73" s="82"/>
      <c r="V73" s="82"/>
      <c r="W73" s="83"/>
    </row>
    <row r="74" spans="2:23" x14ac:dyDescent="0.25">
      <c r="B74" s="84"/>
      <c r="C74" s="66"/>
      <c r="D74" s="66"/>
      <c r="E74" s="66"/>
      <c r="F74" s="66"/>
      <c r="G74" s="66"/>
      <c r="H74" s="66"/>
      <c r="I74" s="66"/>
      <c r="J74" s="66"/>
      <c r="K74" s="82"/>
      <c r="L74" s="82"/>
      <c r="M74" s="82"/>
      <c r="N74" s="82"/>
      <c r="O74" s="82"/>
      <c r="P74" s="82"/>
      <c r="Q74" s="82"/>
      <c r="R74" s="82"/>
      <c r="S74" s="82"/>
      <c r="T74" s="82"/>
      <c r="U74" s="82"/>
      <c r="V74" s="82"/>
      <c r="W74" s="83"/>
    </row>
    <row r="75" spans="2:23" x14ac:dyDescent="0.25">
      <c r="B75" s="84"/>
      <c r="C75" s="66"/>
      <c r="D75" s="66"/>
      <c r="E75" s="66"/>
      <c r="F75" s="66"/>
      <c r="G75" s="66"/>
      <c r="H75" s="66"/>
      <c r="I75" s="66"/>
      <c r="J75" s="66"/>
      <c r="K75" s="82"/>
      <c r="L75" s="82"/>
      <c r="M75" s="82"/>
      <c r="N75" s="82"/>
      <c r="O75" s="82"/>
      <c r="P75" s="82"/>
      <c r="Q75" s="82"/>
      <c r="R75" s="82"/>
      <c r="S75" s="82"/>
      <c r="T75" s="82"/>
      <c r="U75" s="82"/>
      <c r="V75" s="82"/>
      <c r="W75" s="83"/>
    </row>
    <row r="76" spans="2:23" x14ac:dyDescent="0.25">
      <c r="B76" s="84"/>
      <c r="C76" s="66"/>
      <c r="D76" s="66"/>
      <c r="E76" s="66"/>
      <c r="F76" s="66"/>
      <c r="G76" s="66"/>
      <c r="H76" s="66"/>
      <c r="I76" s="66"/>
      <c r="J76" s="66"/>
      <c r="K76" s="82"/>
      <c r="L76" s="82"/>
      <c r="M76" s="82"/>
      <c r="N76" s="82"/>
      <c r="O76" s="82"/>
      <c r="P76" s="82"/>
      <c r="Q76" s="82"/>
      <c r="R76" s="82"/>
      <c r="S76" s="82"/>
      <c r="T76" s="82"/>
      <c r="U76" s="82"/>
      <c r="V76" s="82"/>
      <c r="W76" s="83"/>
    </row>
    <row r="77" spans="2:23" x14ac:dyDescent="0.25">
      <c r="B77" s="84"/>
      <c r="C77" s="66"/>
      <c r="D77" s="66"/>
      <c r="E77" s="66"/>
      <c r="F77" s="66"/>
      <c r="G77" s="66"/>
      <c r="H77" s="66"/>
      <c r="I77" s="66"/>
      <c r="J77" s="66"/>
      <c r="K77" s="82"/>
      <c r="L77" s="82"/>
      <c r="M77" s="82"/>
      <c r="N77" s="82"/>
      <c r="O77" s="82"/>
      <c r="P77" s="82"/>
      <c r="Q77" s="82"/>
      <c r="R77" s="82"/>
      <c r="S77" s="82"/>
      <c r="T77" s="82"/>
      <c r="U77" s="82"/>
      <c r="V77" s="82"/>
      <c r="W77" s="83"/>
    </row>
    <row r="78" spans="2:23" x14ac:dyDescent="0.25">
      <c r="B78" s="84"/>
      <c r="C78" s="66"/>
      <c r="D78" s="66"/>
      <c r="E78" s="66"/>
      <c r="F78" s="66"/>
      <c r="G78" s="66"/>
      <c r="H78" s="66"/>
      <c r="I78" s="66"/>
      <c r="J78" s="66"/>
      <c r="K78" s="82"/>
      <c r="L78" s="82"/>
      <c r="M78" s="82"/>
      <c r="N78" s="82"/>
      <c r="O78" s="82"/>
      <c r="P78" s="82"/>
      <c r="Q78" s="82"/>
      <c r="R78" s="82"/>
      <c r="S78" s="82"/>
      <c r="T78" s="82"/>
      <c r="U78" s="82"/>
      <c r="V78" s="82"/>
      <c r="W78" s="83"/>
    </row>
    <row r="79" spans="2:23" x14ac:dyDescent="0.25">
      <c r="B79" s="84"/>
      <c r="C79" s="66"/>
      <c r="D79" s="66"/>
      <c r="E79" s="66"/>
      <c r="F79" s="66"/>
      <c r="G79" s="66"/>
      <c r="H79" s="66"/>
      <c r="I79" s="66"/>
      <c r="J79" s="66"/>
      <c r="K79" s="82"/>
      <c r="L79" s="82"/>
      <c r="M79" s="82"/>
      <c r="N79" s="82"/>
      <c r="O79" s="82"/>
      <c r="P79" s="82"/>
      <c r="Q79" s="82"/>
      <c r="R79" s="82"/>
      <c r="S79" s="82"/>
      <c r="T79" s="82"/>
      <c r="U79" s="82"/>
      <c r="V79" s="82"/>
      <c r="W79" s="83"/>
    </row>
    <row r="80" spans="2:23" ht="15.75" thickBot="1" x14ac:dyDescent="0.3">
      <c r="B80" s="85"/>
      <c r="C80" s="86"/>
      <c r="D80" s="86"/>
      <c r="E80" s="86"/>
      <c r="F80" s="86"/>
      <c r="G80" s="86"/>
      <c r="H80" s="86"/>
      <c r="I80" s="86"/>
      <c r="J80" s="86"/>
      <c r="K80" s="87"/>
      <c r="L80" s="87"/>
      <c r="M80" s="87"/>
      <c r="N80" s="87"/>
      <c r="O80" s="87"/>
      <c r="P80" s="87"/>
      <c r="Q80" s="87"/>
      <c r="R80" s="87"/>
      <c r="S80" s="87"/>
      <c r="T80" s="87"/>
      <c r="U80" s="87"/>
      <c r="V80" s="87"/>
      <c r="W80" s="88"/>
    </row>
    <row r="81" spans="2:23" ht="15.75" thickBot="1" x14ac:dyDescent="0.3"/>
    <row r="82" spans="2:23" x14ac:dyDescent="0.25">
      <c r="B82" s="89"/>
      <c r="C82" s="90"/>
      <c r="D82" s="90"/>
      <c r="E82" s="90"/>
      <c r="F82" s="90"/>
      <c r="G82" s="90"/>
      <c r="H82" s="90"/>
      <c r="I82" s="90"/>
      <c r="J82" s="90"/>
      <c r="K82" s="79"/>
      <c r="L82" s="79"/>
      <c r="M82" s="79"/>
      <c r="N82" s="79"/>
      <c r="O82" s="79"/>
      <c r="P82" s="79"/>
      <c r="Q82" s="79"/>
      <c r="R82" s="79"/>
      <c r="S82" s="79"/>
      <c r="T82" s="79"/>
      <c r="U82" s="79"/>
      <c r="V82" s="79"/>
      <c r="W82" s="80"/>
    </row>
    <row r="83" spans="2:23" x14ac:dyDescent="0.25">
      <c r="B83" s="84"/>
      <c r="C83" s="66"/>
      <c r="D83" s="66"/>
      <c r="E83" s="66"/>
      <c r="F83" s="66"/>
      <c r="G83" s="66"/>
      <c r="H83" s="66"/>
      <c r="I83" s="66"/>
      <c r="J83" s="66"/>
      <c r="K83" s="82"/>
      <c r="L83" s="82"/>
      <c r="M83" s="82"/>
      <c r="N83" s="82"/>
      <c r="O83" s="82"/>
      <c r="P83" s="82"/>
      <c r="Q83" s="82"/>
      <c r="R83" s="82"/>
      <c r="S83" s="82"/>
      <c r="T83" s="82"/>
      <c r="U83" s="82"/>
      <c r="V83" s="82"/>
      <c r="W83" s="83"/>
    </row>
    <row r="84" spans="2:23" x14ac:dyDescent="0.25">
      <c r="B84" s="84"/>
      <c r="C84" s="66"/>
      <c r="D84" s="66"/>
      <c r="E84" s="66"/>
      <c r="F84" s="66"/>
      <c r="G84" s="66"/>
      <c r="H84" s="66"/>
      <c r="I84" s="66"/>
      <c r="J84" s="66"/>
      <c r="K84" s="82"/>
      <c r="L84" s="82"/>
      <c r="M84" s="82"/>
      <c r="N84" s="82"/>
      <c r="O84" s="82"/>
      <c r="P84" s="82"/>
      <c r="Q84" s="82"/>
      <c r="R84" s="82"/>
      <c r="S84" s="82"/>
      <c r="T84" s="82"/>
      <c r="U84" s="82"/>
      <c r="V84" s="82"/>
      <c r="W84" s="83"/>
    </row>
    <row r="85" spans="2:23" x14ac:dyDescent="0.25">
      <c r="B85" s="84"/>
      <c r="C85" s="66"/>
      <c r="D85" s="66"/>
      <c r="E85" s="66"/>
      <c r="F85" s="66"/>
      <c r="G85" s="66"/>
      <c r="H85" s="66"/>
      <c r="I85" s="66"/>
      <c r="J85" s="66"/>
      <c r="K85" s="82"/>
      <c r="L85" s="82"/>
      <c r="M85" s="82"/>
      <c r="N85" s="82"/>
      <c r="O85" s="82"/>
      <c r="P85" s="82"/>
      <c r="Q85" s="82"/>
      <c r="R85" s="82"/>
      <c r="S85" s="82"/>
      <c r="T85" s="82"/>
      <c r="U85" s="82"/>
      <c r="V85" s="82"/>
      <c r="W85" s="83"/>
    </row>
    <row r="86" spans="2:23" x14ac:dyDescent="0.25">
      <c r="B86" s="84"/>
      <c r="C86" s="66"/>
      <c r="D86" s="66"/>
      <c r="E86" s="66"/>
      <c r="F86" s="66"/>
      <c r="G86" s="66"/>
      <c r="H86" s="66"/>
      <c r="I86" s="66"/>
      <c r="J86" s="66"/>
      <c r="K86" s="82"/>
      <c r="L86" s="82"/>
      <c r="M86" s="82"/>
      <c r="N86" s="82"/>
      <c r="O86" s="82"/>
      <c r="P86" s="82"/>
      <c r="Q86" s="82"/>
      <c r="R86" s="82"/>
      <c r="S86" s="82"/>
      <c r="T86" s="82"/>
      <c r="U86" s="82"/>
      <c r="V86" s="82"/>
      <c r="W86" s="83"/>
    </row>
    <row r="87" spans="2:23" x14ac:dyDescent="0.25">
      <c r="B87" s="84"/>
      <c r="C87" s="66"/>
      <c r="D87" s="66"/>
      <c r="E87" s="66"/>
      <c r="F87" s="66"/>
      <c r="G87" s="66"/>
      <c r="H87" s="66"/>
      <c r="I87" s="66"/>
      <c r="J87" s="66"/>
      <c r="K87" s="82"/>
      <c r="L87" s="82"/>
      <c r="M87" s="82"/>
      <c r="N87" s="82"/>
      <c r="O87" s="82"/>
      <c r="P87" s="82"/>
      <c r="Q87" s="82"/>
      <c r="R87" s="82"/>
      <c r="S87" s="82"/>
      <c r="T87" s="82"/>
      <c r="U87" s="82"/>
      <c r="V87" s="82"/>
      <c r="W87" s="83"/>
    </row>
    <row r="88" spans="2:23" x14ac:dyDescent="0.25">
      <c r="B88" s="84"/>
      <c r="C88" s="66"/>
      <c r="D88" s="66"/>
      <c r="E88" s="66"/>
      <c r="F88" s="66"/>
      <c r="G88" s="66"/>
      <c r="H88" s="66"/>
      <c r="I88" s="66"/>
      <c r="J88" s="66"/>
      <c r="K88" s="82"/>
      <c r="L88" s="82"/>
      <c r="M88" s="82"/>
      <c r="N88" s="82"/>
      <c r="O88" s="82"/>
      <c r="P88" s="82"/>
      <c r="Q88" s="82"/>
      <c r="R88" s="82"/>
      <c r="S88" s="82"/>
      <c r="T88" s="82"/>
      <c r="U88" s="82"/>
      <c r="V88" s="82"/>
      <c r="W88" s="83"/>
    </row>
    <row r="89" spans="2:23" x14ac:dyDescent="0.25">
      <c r="B89" s="84"/>
      <c r="C89" s="66"/>
      <c r="D89" s="66"/>
      <c r="E89" s="66"/>
      <c r="F89" s="66"/>
      <c r="G89" s="66"/>
      <c r="H89" s="66"/>
      <c r="I89" s="66"/>
      <c r="J89" s="66"/>
      <c r="K89" s="82"/>
      <c r="L89" s="82"/>
      <c r="M89" s="82"/>
      <c r="N89" s="82"/>
      <c r="O89" s="82"/>
      <c r="P89" s="82"/>
      <c r="Q89" s="82"/>
      <c r="R89" s="82"/>
      <c r="S89" s="82"/>
      <c r="T89" s="82"/>
      <c r="U89" s="82"/>
      <c r="V89" s="82"/>
      <c r="W89" s="83"/>
    </row>
    <row r="90" spans="2:23" x14ac:dyDescent="0.25">
      <c r="B90" s="84"/>
      <c r="C90" s="66"/>
      <c r="D90" s="66"/>
      <c r="E90" s="66"/>
      <c r="F90" s="66"/>
      <c r="G90" s="66"/>
      <c r="H90" s="66"/>
      <c r="I90" s="66"/>
      <c r="J90" s="66"/>
      <c r="K90" s="82"/>
      <c r="L90" s="82"/>
      <c r="M90" s="82"/>
      <c r="N90" s="82"/>
      <c r="O90" s="82"/>
      <c r="P90" s="82"/>
      <c r="Q90" s="82"/>
      <c r="R90" s="82"/>
      <c r="S90" s="82"/>
      <c r="T90" s="82"/>
      <c r="U90" s="82"/>
      <c r="V90" s="82"/>
      <c r="W90" s="83"/>
    </row>
    <row r="91" spans="2:23" x14ac:dyDescent="0.25">
      <c r="B91" s="84"/>
      <c r="C91" s="66"/>
      <c r="D91" s="66"/>
      <c r="E91" s="66"/>
      <c r="F91" s="66"/>
      <c r="G91" s="66"/>
      <c r="H91" s="66"/>
      <c r="I91" s="66"/>
      <c r="J91" s="66"/>
      <c r="K91" s="82"/>
      <c r="L91" s="82"/>
      <c r="M91" s="82"/>
      <c r="N91" s="82"/>
      <c r="O91" s="82"/>
      <c r="P91" s="82"/>
      <c r="Q91" s="82"/>
      <c r="R91" s="82"/>
      <c r="S91" s="82"/>
      <c r="T91" s="82"/>
      <c r="U91" s="82"/>
      <c r="V91" s="82"/>
      <c r="W91" s="83"/>
    </row>
    <row r="92" spans="2:23" x14ac:dyDescent="0.25">
      <c r="B92" s="84"/>
      <c r="C92" s="66"/>
      <c r="D92" s="66"/>
      <c r="E92" s="66"/>
      <c r="F92" s="66"/>
      <c r="G92" s="66"/>
      <c r="H92" s="66"/>
      <c r="I92" s="66"/>
      <c r="J92" s="66"/>
      <c r="K92" s="82"/>
      <c r="L92" s="82"/>
      <c r="M92" s="82"/>
      <c r="N92" s="82"/>
      <c r="O92" s="82"/>
      <c r="P92" s="82"/>
      <c r="Q92" s="82"/>
      <c r="R92" s="82"/>
      <c r="S92" s="82"/>
      <c r="T92" s="82"/>
      <c r="U92" s="82"/>
      <c r="V92" s="82"/>
      <c r="W92" s="83"/>
    </row>
    <row r="93" spans="2:23" x14ac:dyDescent="0.25">
      <c r="B93" s="84"/>
      <c r="C93" s="66"/>
      <c r="D93" s="66"/>
      <c r="E93" s="66"/>
      <c r="F93" s="66"/>
      <c r="G93" s="66"/>
      <c r="H93" s="66"/>
      <c r="I93" s="66"/>
      <c r="J93" s="66"/>
      <c r="K93" s="82"/>
      <c r="L93" s="82"/>
      <c r="M93" s="82"/>
      <c r="N93" s="82"/>
      <c r="O93" s="82"/>
      <c r="P93" s="82"/>
      <c r="Q93" s="82"/>
      <c r="R93" s="82"/>
      <c r="S93" s="82"/>
      <c r="T93" s="82"/>
      <c r="U93" s="82"/>
      <c r="V93" s="82"/>
      <c r="W93" s="83"/>
    </row>
    <row r="94" spans="2:23" x14ac:dyDescent="0.25">
      <c r="B94" s="84"/>
      <c r="C94" s="66"/>
      <c r="D94" s="66"/>
      <c r="E94" s="66"/>
      <c r="F94" s="66"/>
      <c r="G94" s="66"/>
      <c r="H94" s="66"/>
      <c r="I94" s="66"/>
      <c r="J94" s="66"/>
      <c r="K94" s="82"/>
      <c r="L94" s="82"/>
      <c r="M94" s="82"/>
      <c r="N94" s="82"/>
      <c r="O94" s="82"/>
      <c r="P94" s="82"/>
      <c r="Q94" s="82"/>
      <c r="R94" s="82"/>
      <c r="S94" s="82"/>
      <c r="T94" s="82"/>
      <c r="U94" s="82"/>
      <c r="V94" s="82"/>
      <c r="W94" s="83"/>
    </row>
    <row r="95" spans="2:23" x14ac:dyDescent="0.25">
      <c r="B95" s="84"/>
      <c r="C95" s="66"/>
      <c r="D95" s="66"/>
      <c r="E95" s="66"/>
      <c r="F95" s="66"/>
      <c r="G95" s="66"/>
      <c r="H95" s="66"/>
      <c r="I95" s="66"/>
      <c r="J95" s="66"/>
      <c r="K95" s="82"/>
      <c r="L95" s="82"/>
      <c r="M95" s="82"/>
      <c r="N95" s="82"/>
      <c r="O95" s="82"/>
      <c r="P95" s="82"/>
      <c r="Q95" s="82"/>
      <c r="R95" s="82"/>
      <c r="S95" s="82"/>
      <c r="T95" s="82"/>
      <c r="U95" s="82"/>
      <c r="V95" s="82"/>
      <c r="W95" s="83"/>
    </row>
    <row r="96" spans="2:23" x14ac:dyDescent="0.25">
      <c r="B96" s="84"/>
      <c r="C96" s="66"/>
      <c r="D96" s="66"/>
      <c r="E96" s="66"/>
      <c r="F96" s="66"/>
      <c r="G96" s="66"/>
      <c r="H96" s="66"/>
      <c r="I96" s="66"/>
      <c r="J96" s="66"/>
      <c r="K96" s="82"/>
      <c r="L96" s="82"/>
      <c r="M96" s="82"/>
      <c r="N96" s="82"/>
      <c r="O96" s="82"/>
      <c r="P96" s="82"/>
      <c r="Q96" s="82"/>
      <c r="R96" s="82"/>
      <c r="S96" s="82"/>
      <c r="T96" s="82"/>
      <c r="U96" s="82"/>
      <c r="V96" s="82"/>
      <c r="W96" s="83"/>
    </row>
    <row r="97" spans="2:23" x14ac:dyDescent="0.25">
      <c r="B97" s="84"/>
      <c r="C97" s="66"/>
      <c r="D97" s="66"/>
      <c r="E97" s="66"/>
      <c r="F97" s="66"/>
      <c r="G97" s="66"/>
      <c r="H97" s="66"/>
      <c r="I97" s="66"/>
      <c r="J97" s="66"/>
      <c r="K97" s="82"/>
      <c r="L97" s="82"/>
      <c r="M97" s="82"/>
      <c r="N97" s="82"/>
      <c r="O97" s="82"/>
      <c r="P97" s="82"/>
      <c r="Q97" s="82"/>
      <c r="R97" s="82"/>
      <c r="S97" s="82"/>
      <c r="T97" s="82"/>
      <c r="U97" s="82"/>
      <c r="V97" s="82"/>
      <c r="W97" s="83"/>
    </row>
    <row r="98" spans="2:23" x14ac:dyDescent="0.25">
      <c r="B98" s="84"/>
      <c r="C98" s="66"/>
      <c r="D98" s="66"/>
      <c r="E98" s="66"/>
      <c r="F98" s="66"/>
      <c r="G98" s="66"/>
      <c r="H98" s="66"/>
      <c r="I98" s="66"/>
      <c r="J98" s="66"/>
      <c r="K98" s="82"/>
      <c r="L98" s="82"/>
      <c r="M98" s="82"/>
      <c r="N98" s="82"/>
      <c r="O98" s="82"/>
      <c r="P98" s="82"/>
      <c r="Q98" s="82"/>
      <c r="R98" s="82"/>
      <c r="S98" s="82"/>
      <c r="T98" s="82"/>
      <c r="U98" s="82"/>
      <c r="V98" s="82"/>
      <c r="W98" s="83"/>
    </row>
    <row r="99" spans="2:23" x14ac:dyDescent="0.25">
      <c r="B99" s="84"/>
      <c r="C99" s="66"/>
      <c r="D99" s="66"/>
      <c r="E99" s="66"/>
      <c r="F99" s="66"/>
      <c r="G99" s="66"/>
      <c r="H99" s="66"/>
      <c r="I99" s="66"/>
      <c r="J99" s="66"/>
      <c r="K99" s="82"/>
      <c r="L99" s="82"/>
      <c r="M99" s="82"/>
      <c r="N99" s="82"/>
      <c r="O99" s="82"/>
      <c r="P99" s="82"/>
      <c r="Q99" s="82"/>
      <c r="R99" s="82"/>
      <c r="S99" s="82"/>
      <c r="T99" s="82"/>
      <c r="U99" s="82"/>
      <c r="V99" s="82"/>
      <c r="W99" s="83"/>
    </row>
    <row r="100" spans="2:23" x14ac:dyDescent="0.25">
      <c r="B100" s="84"/>
      <c r="C100" s="66"/>
      <c r="D100" s="66"/>
      <c r="E100" s="66"/>
      <c r="F100" s="66"/>
      <c r="G100" s="66"/>
      <c r="H100" s="66"/>
      <c r="I100" s="66"/>
      <c r="J100" s="66"/>
      <c r="K100" s="82"/>
      <c r="L100" s="82"/>
      <c r="M100" s="82"/>
      <c r="N100" s="82"/>
      <c r="O100" s="82"/>
      <c r="P100" s="82"/>
      <c r="Q100" s="82"/>
      <c r="R100" s="82"/>
      <c r="S100" s="82"/>
      <c r="T100" s="82"/>
      <c r="U100" s="82"/>
      <c r="V100" s="82"/>
      <c r="W100" s="83"/>
    </row>
    <row r="101" spans="2:23" x14ac:dyDescent="0.25">
      <c r="B101" s="84"/>
      <c r="C101" s="66"/>
      <c r="D101" s="66"/>
      <c r="E101" s="66"/>
      <c r="F101" s="66"/>
      <c r="G101" s="66"/>
      <c r="H101" s="66"/>
      <c r="I101" s="66"/>
      <c r="J101" s="66"/>
      <c r="K101" s="82"/>
      <c r="L101" s="82"/>
      <c r="M101" s="82"/>
      <c r="N101" s="82"/>
      <c r="O101" s="82"/>
      <c r="P101" s="82"/>
      <c r="Q101" s="82"/>
      <c r="R101" s="82"/>
      <c r="S101" s="82"/>
      <c r="T101" s="82"/>
      <c r="U101" s="82"/>
      <c r="V101" s="82"/>
      <c r="W101" s="83"/>
    </row>
    <row r="102" spans="2:23" x14ac:dyDescent="0.25">
      <c r="B102" s="84"/>
      <c r="C102" s="66"/>
      <c r="D102" s="66"/>
      <c r="E102" s="66"/>
      <c r="F102" s="66"/>
      <c r="G102" s="66"/>
      <c r="H102" s="66"/>
      <c r="I102" s="66"/>
      <c r="J102" s="66"/>
      <c r="K102" s="82"/>
      <c r="L102" s="82"/>
      <c r="M102" s="82"/>
      <c r="N102" s="82"/>
      <c r="O102" s="82"/>
      <c r="P102" s="82"/>
      <c r="Q102" s="82"/>
      <c r="R102" s="82"/>
      <c r="S102" s="82"/>
      <c r="T102" s="82"/>
      <c r="U102" s="82"/>
      <c r="V102" s="82"/>
      <c r="W102" s="83"/>
    </row>
    <row r="103" spans="2:23" x14ac:dyDescent="0.25">
      <c r="B103" s="84"/>
      <c r="C103" s="66"/>
      <c r="D103" s="66"/>
      <c r="E103" s="66"/>
      <c r="F103" s="66"/>
      <c r="G103" s="66"/>
      <c r="H103" s="66"/>
      <c r="I103" s="66"/>
      <c r="J103" s="66"/>
      <c r="K103" s="82"/>
      <c r="L103" s="82"/>
      <c r="M103" s="82"/>
      <c r="N103" s="82"/>
      <c r="O103" s="82"/>
      <c r="P103" s="82"/>
      <c r="Q103" s="82"/>
      <c r="R103" s="82"/>
      <c r="S103" s="82"/>
      <c r="T103" s="82"/>
      <c r="U103" s="82"/>
      <c r="V103" s="82"/>
      <c r="W103" s="83"/>
    </row>
    <row r="104" spans="2:23" x14ac:dyDescent="0.25">
      <c r="B104" s="84"/>
      <c r="C104" s="66"/>
      <c r="D104" s="66"/>
      <c r="E104" s="66"/>
      <c r="F104" s="66"/>
      <c r="G104" s="66"/>
      <c r="H104" s="66"/>
      <c r="I104" s="66"/>
      <c r="J104" s="66"/>
      <c r="K104" s="82"/>
      <c r="L104" s="82"/>
      <c r="M104" s="82"/>
      <c r="N104" s="82"/>
      <c r="O104" s="82"/>
      <c r="P104" s="82"/>
      <c r="Q104" s="82"/>
      <c r="R104" s="82"/>
      <c r="S104" s="82"/>
      <c r="T104" s="82"/>
      <c r="U104" s="82"/>
      <c r="V104" s="82"/>
      <c r="W104" s="83"/>
    </row>
    <row r="105" spans="2:23" x14ac:dyDescent="0.25">
      <c r="B105" s="84"/>
      <c r="C105" s="66"/>
      <c r="D105" s="66"/>
      <c r="E105" s="66"/>
      <c r="F105" s="66"/>
      <c r="G105" s="66"/>
      <c r="H105" s="66"/>
      <c r="I105" s="66"/>
      <c r="J105" s="66"/>
      <c r="K105" s="82"/>
      <c r="L105" s="82"/>
      <c r="M105" s="82"/>
      <c r="N105" s="82"/>
      <c r="O105" s="82"/>
      <c r="P105" s="82"/>
      <c r="Q105" s="82"/>
      <c r="R105" s="82"/>
      <c r="S105" s="82"/>
      <c r="T105" s="82"/>
      <c r="U105" s="82"/>
      <c r="V105" s="82"/>
      <c r="W105" s="83"/>
    </row>
    <row r="106" spans="2:23" x14ac:dyDescent="0.25">
      <c r="B106" s="84"/>
      <c r="C106" s="66"/>
      <c r="D106" s="66"/>
      <c r="E106" s="66"/>
      <c r="F106" s="66"/>
      <c r="G106" s="66"/>
      <c r="H106" s="66"/>
      <c r="I106" s="66"/>
      <c r="J106" s="66"/>
      <c r="K106" s="82"/>
      <c r="L106" s="82"/>
      <c r="M106" s="82"/>
      <c r="N106" s="82"/>
      <c r="O106" s="82"/>
      <c r="P106" s="82"/>
      <c r="Q106" s="82"/>
      <c r="R106" s="82"/>
      <c r="S106" s="82"/>
      <c r="T106" s="82"/>
      <c r="U106" s="82"/>
      <c r="V106" s="82"/>
      <c r="W106" s="83"/>
    </row>
    <row r="107" spans="2:23" x14ac:dyDescent="0.25">
      <c r="B107" s="84"/>
      <c r="C107" s="66"/>
      <c r="D107" s="66"/>
      <c r="E107" s="66"/>
      <c r="F107" s="66"/>
      <c r="G107" s="66"/>
      <c r="H107" s="66"/>
      <c r="I107" s="66"/>
      <c r="J107" s="66"/>
      <c r="K107" s="82"/>
      <c r="L107" s="82"/>
      <c r="M107" s="82"/>
      <c r="N107" s="82"/>
      <c r="O107" s="82"/>
      <c r="P107" s="82"/>
      <c r="Q107" s="82"/>
      <c r="R107" s="82"/>
      <c r="S107" s="82"/>
      <c r="T107" s="82"/>
      <c r="U107" s="82"/>
      <c r="V107" s="82"/>
      <c r="W107" s="83"/>
    </row>
    <row r="108" spans="2:23" x14ac:dyDescent="0.25">
      <c r="B108" s="84"/>
      <c r="C108" s="66"/>
      <c r="D108" s="66"/>
      <c r="E108" s="66"/>
      <c r="F108" s="66"/>
      <c r="G108" s="66"/>
      <c r="H108" s="66"/>
      <c r="I108" s="66"/>
      <c r="J108" s="66"/>
      <c r="K108" s="82"/>
      <c r="L108" s="82"/>
      <c r="M108" s="82"/>
      <c r="N108" s="82"/>
      <c r="O108" s="82"/>
      <c r="P108" s="82"/>
      <c r="Q108" s="82"/>
      <c r="R108" s="82"/>
      <c r="S108" s="82"/>
      <c r="T108" s="82"/>
      <c r="U108" s="82"/>
      <c r="V108" s="82"/>
      <c r="W108" s="83"/>
    </row>
    <row r="109" spans="2:23" x14ac:dyDescent="0.25">
      <c r="B109" s="84"/>
      <c r="C109" s="66"/>
      <c r="D109" s="66"/>
      <c r="E109" s="66"/>
      <c r="F109" s="66"/>
      <c r="G109" s="66"/>
      <c r="H109" s="66"/>
      <c r="I109" s="66"/>
      <c r="J109" s="66"/>
      <c r="K109" s="82"/>
      <c r="L109" s="82"/>
      <c r="M109" s="82"/>
      <c r="N109" s="82"/>
      <c r="O109" s="82"/>
      <c r="P109" s="82"/>
      <c r="Q109" s="82"/>
      <c r="R109" s="82"/>
      <c r="S109" s="82"/>
      <c r="T109" s="82"/>
      <c r="U109" s="82"/>
      <c r="V109" s="82"/>
      <c r="W109" s="83"/>
    </row>
    <row r="110" spans="2:23" x14ac:dyDescent="0.25">
      <c r="B110" s="84"/>
      <c r="C110" s="66"/>
      <c r="D110" s="66"/>
      <c r="E110" s="66"/>
      <c r="F110" s="66"/>
      <c r="G110" s="66"/>
      <c r="H110" s="66"/>
      <c r="I110" s="66"/>
      <c r="J110" s="66"/>
      <c r="K110" s="82"/>
      <c r="L110" s="82"/>
      <c r="M110" s="82"/>
      <c r="N110" s="82"/>
      <c r="O110" s="82"/>
      <c r="P110" s="82"/>
      <c r="Q110" s="82"/>
      <c r="R110" s="82"/>
      <c r="S110" s="82"/>
      <c r="T110" s="82"/>
      <c r="U110" s="82"/>
      <c r="V110" s="82"/>
      <c r="W110" s="83"/>
    </row>
    <row r="111" spans="2:23" x14ac:dyDescent="0.25">
      <c r="B111" s="84"/>
      <c r="C111" s="66"/>
      <c r="D111" s="66"/>
      <c r="E111" s="66"/>
      <c r="F111" s="66"/>
      <c r="G111" s="66"/>
      <c r="H111" s="66"/>
      <c r="I111" s="66"/>
      <c r="J111" s="66"/>
      <c r="K111" s="82"/>
      <c r="L111" s="82"/>
      <c r="M111" s="82"/>
      <c r="N111" s="82"/>
      <c r="O111" s="82"/>
      <c r="P111" s="82"/>
      <c r="Q111" s="82"/>
      <c r="R111" s="82"/>
      <c r="S111" s="82"/>
      <c r="T111" s="82"/>
      <c r="U111" s="82"/>
      <c r="V111" s="82"/>
      <c r="W111" s="83"/>
    </row>
    <row r="112" spans="2:23" ht="15.75" thickBot="1" x14ac:dyDescent="0.3">
      <c r="B112" s="85"/>
      <c r="C112" s="86"/>
      <c r="D112" s="86"/>
      <c r="E112" s="86"/>
      <c r="F112" s="86"/>
      <c r="G112" s="86"/>
      <c r="H112" s="86"/>
      <c r="I112" s="86"/>
      <c r="J112" s="86"/>
      <c r="K112" s="87"/>
      <c r="L112" s="87"/>
      <c r="M112" s="87"/>
      <c r="N112" s="87"/>
      <c r="O112" s="87"/>
      <c r="P112" s="87"/>
      <c r="Q112" s="87"/>
      <c r="R112" s="87"/>
      <c r="S112" s="87"/>
      <c r="T112" s="87"/>
      <c r="U112" s="87"/>
      <c r="V112" s="87"/>
      <c r="W112" s="88"/>
    </row>
    <row r="113" spans="2:23" ht="15.75" thickBot="1" x14ac:dyDescent="0.3"/>
    <row r="114" spans="2:23" x14ac:dyDescent="0.25">
      <c r="B114" s="89"/>
      <c r="C114" s="90"/>
      <c r="D114" s="90"/>
      <c r="E114" s="90"/>
      <c r="F114" s="90"/>
      <c r="G114" s="90"/>
      <c r="H114" s="90"/>
      <c r="I114" s="90"/>
      <c r="J114" s="90"/>
      <c r="K114" s="79"/>
      <c r="L114" s="79"/>
      <c r="M114" s="79"/>
      <c r="N114" s="79"/>
      <c r="O114" s="79"/>
      <c r="P114" s="79"/>
      <c r="Q114" s="79"/>
      <c r="R114" s="79"/>
      <c r="S114" s="79"/>
      <c r="T114" s="79"/>
      <c r="U114" s="79"/>
      <c r="V114" s="79"/>
      <c r="W114" s="80"/>
    </row>
    <row r="115" spans="2:23" x14ac:dyDescent="0.25">
      <c r="B115" s="84"/>
      <c r="C115" s="66"/>
      <c r="D115" s="66"/>
      <c r="E115" s="66"/>
      <c r="F115" s="66"/>
      <c r="G115" s="66"/>
      <c r="H115" s="66"/>
      <c r="I115" s="66"/>
      <c r="J115" s="66"/>
      <c r="K115" s="82"/>
      <c r="L115" s="82"/>
      <c r="M115" s="82"/>
      <c r="N115" s="82"/>
      <c r="O115" s="82"/>
      <c r="P115" s="82"/>
      <c r="Q115" s="82"/>
      <c r="R115" s="82"/>
      <c r="S115" s="82"/>
      <c r="T115" s="82"/>
      <c r="U115" s="82"/>
      <c r="V115" s="82"/>
      <c r="W115" s="83"/>
    </row>
    <row r="116" spans="2:23" x14ac:dyDescent="0.25">
      <c r="B116" s="84"/>
      <c r="C116" s="66"/>
      <c r="D116" s="66"/>
      <c r="E116" s="66"/>
      <c r="F116" s="66"/>
      <c r="G116" s="66"/>
      <c r="H116" s="66"/>
      <c r="I116" s="66"/>
      <c r="J116" s="66"/>
      <c r="K116" s="82"/>
      <c r="L116" s="82"/>
      <c r="M116" s="82"/>
      <c r="N116" s="82"/>
      <c r="O116" s="82"/>
      <c r="P116" s="82"/>
      <c r="Q116" s="82"/>
      <c r="R116" s="82"/>
      <c r="S116" s="82"/>
      <c r="T116" s="82"/>
      <c r="U116" s="82"/>
      <c r="V116" s="82"/>
      <c r="W116" s="83"/>
    </row>
    <row r="117" spans="2:23" x14ac:dyDescent="0.25">
      <c r="B117" s="84"/>
      <c r="C117" s="66"/>
      <c r="D117" s="66"/>
      <c r="E117" s="66"/>
      <c r="F117" s="66"/>
      <c r="G117" s="66"/>
      <c r="H117" s="66"/>
      <c r="I117" s="66"/>
      <c r="J117" s="66"/>
      <c r="K117" s="82"/>
      <c r="L117" s="82"/>
      <c r="M117" s="82"/>
      <c r="N117" s="82"/>
      <c r="O117" s="82"/>
      <c r="P117" s="82"/>
      <c r="Q117" s="82"/>
      <c r="R117" s="82"/>
      <c r="S117" s="82"/>
      <c r="T117" s="82"/>
      <c r="U117" s="82"/>
      <c r="V117" s="82"/>
      <c r="W117" s="83"/>
    </row>
    <row r="118" spans="2:23" x14ac:dyDescent="0.25">
      <c r="B118" s="84"/>
      <c r="C118" s="66"/>
      <c r="D118" s="66"/>
      <c r="E118" s="66"/>
      <c r="F118" s="66"/>
      <c r="G118" s="66"/>
      <c r="H118" s="66"/>
      <c r="I118" s="66"/>
      <c r="J118" s="66"/>
      <c r="K118" s="82"/>
      <c r="L118" s="82"/>
      <c r="M118" s="82"/>
      <c r="N118" s="82"/>
      <c r="O118" s="82"/>
      <c r="P118" s="82"/>
      <c r="Q118" s="82"/>
      <c r="R118" s="82"/>
      <c r="S118" s="82"/>
      <c r="T118" s="82"/>
      <c r="U118" s="82"/>
      <c r="V118" s="82"/>
      <c r="W118" s="83"/>
    </row>
    <row r="119" spans="2:23" x14ac:dyDescent="0.25">
      <c r="B119" s="84"/>
      <c r="C119" s="66"/>
      <c r="D119" s="66"/>
      <c r="E119" s="66"/>
      <c r="F119" s="66"/>
      <c r="G119" s="66"/>
      <c r="H119" s="66"/>
      <c r="I119" s="66"/>
      <c r="J119" s="66"/>
      <c r="K119" s="82"/>
      <c r="L119" s="82"/>
      <c r="M119" s="82"/>
      <c r="N119" s="82"/>
      <c r="O119" s="82"/>
      <c r="P119" s="82"/>
      <c r="Q119" s="82"/>
      <c r="R119" s="82"/>
      <c r="S119" s="82"/>
      <c r="T119" s="82"/>
      <c r="U119" s="82"/>
      <c r="V119" s="82"/>
      <c r="W119" s="83"/>
    </row>
    <row r="120" spans="2:23" x14ac:dyDescent="0.25">
      <c r="B120" s="84"/>
      <c r="C120" s="66"/>
      <c r="D120" s="66"/>
      <c r="E120" s="66"/>
      <c r="F120" s="66"/>
      <c r="G120" s="66"/>
      <c r="H120" s="66"/>
      <c r="I120" s="66"/>
      <c r="J120" s="66"/>
      <c r="K120" s="82"/>
      <c r="L120" s="82"/>
      <c r="M120" s="82"/>
      <c r="N120" s="82"/>
      <c r="O120" s="82"/>
      <c r="P120" s="82"/>
      <c r="Q120" s="82"/>
      <c r="R120" s="82"/>
      <c r="S120" s="82"/>
      <c r="T120" s="82"/>
      <c r="U120" s="82"/>
      <c r="V120" s="82"/>
      <c r="W120" s="83"/>
    </row>
    <row r="121" spans="2:23" x14ac:dyDescent="0.25">
      <c r="B121" s="84"/>
      <c r="C121" s="66"/>
      <c r="D121" s="66"/>
      <c r="E121" s="66"/>
      <c r="F121" s="66"/>
      <c r="G121" s="66"/>
      <c r="H121" s="66"/>
      <c r="I121" s="66"/>
      <c r="J121" s="66"/>
      <c r="K121" s="82"/>
      <c r="L121" s="82"/>
      <c r="M121" s="82"/>
      <c r="N121" s="82"/>
      <c r="O121" s="82"/>
      <c r="P121" s="82"/>
      <c r="Q121" s="82"/>
      <c r="R121" s="82"/>
      <c r="S121" s="82"/>
      <c r="T121" s="82"/>
      <c r="U121" s="82"/>
      <c r="V121" s="82"/>
      <c r="W121" s="83"/>
    </row>
    <row r="122" spans="2:23" x14ac:dyDescent="0.25">
      <c r="B122" s="84"/>
      <c r="C122" s="66"/>
      <c r="D122" s="66"/>
      <c r="E122" s="66"/>
      <c r="F122" s="66"/>
      <c r="G122" s="66"/>
      <c r="H122" s="66"/>
      <c r="I122" s="66"/>
      <c r="J122" s="66"/>
      <c r="K122" s="82"/>
      <c r="L122" s="82"/>
      <c r="M122" s="82"/>
      <c r="N122" s="82"/>
      <c r="O122" s="82"/>
      <c r="P122" s="82"/>
      <c r="Q122" s="82"/>
      <c r="R122" s="82"/>
      <c r="S122" s="82"/>
      <c r="T122" s="82"/>
      <c r="U122" s="82"/>
      <c r="V122" s="82"/>
      <c r="W122" s="83"/>
    </row>
    <row r="123" spans="2:23" x14ac:dyDescent="0.25">
      <c r="B123" s="84"/>
      <c r="C123" s="66"/>
      <c r="D123" s="66"/>
      <c r="E123" s="66"/>
      <c r="F123" s="66"/>
      <c r="G123" s="66"/>
      <c r="H123" s="66"/>
      <c r="I123" s="66"/>
      <c r="J123" s="66"/>
      <c r="K123" s="82"/>
      <c r="L123" s="82"/>
      <c r="M123" s="82"/>
      <c r="N123" s="82"/>
      <c r="O123" s="82"/>
      <c r="P123" s="82"/>
      <c r="Q123" s="82"/>
      <c r="R123" s="82"/>
      <c r="S123" s="82"/>
      <c r="T123" s="82"/>
      <c r="U123" s="82"/>
      <c r="V123" s="82"/>
      <c r="W123" s="83"/>
    </row>
    <row r="124" spans="2:23" x14ac:dyDescent="0.25">
      <c r="B124" s="84"/>
      <c r="C124" s="66"/>
      <c r="D124" s="66"/>
      <c r="E124" s="66"/>
      <c r="F124" s="66"/>
      <c r="G124" s="66"/>
      <c r="H124" s="66"/>
      <c r="I124" s="66"/>
      <c r="J124" s="66"/>
      <c r="K124" s="82"/>
      <c r="L124" s="82"/>
      <c r="M124" s="82"/>
      <c r="N124" s="82"/>
      <c r="O124" s="82"/>
      <c r="P124" s="82"/>
      <c r="Q124" s="82"/>
      <c r="R124" s="82"/>
      <c r="S124" s="82"/>
      <c r="T124" s="82"/>
      <c r="U124" s="82"/>
      <c r="V124" s="82"/>
      <c r="W124" s="83"/>
    </row>
    <row r="125" spans="2:23" x14ac:dyDescent="0.25">
      <c r="B125" s="84"/>
      <c r="C125" s="66"/>
      <c r="D125" s="66"/>
      <c r="E125" s="66"/>
      <c r="F125" s="66"/>
      <c r="G125" s="66"/>
      <c r="H125" s="66"/>
      <c r="I125" s="66"/>
      <c r="J125" s="66"/>
      <c r="K125" s="82"/>
      <c r="L125" s="82"/>
      <c r="M125" s="82"/>
      <c r="N125" s="82"/>
      <c r="O125" s="82"/>
      <c r="P125" s="82"/>
      <c r="Q125" s="82"/>
      <c r="R125" s="82"/>
      <c r="S125" s="82"/>
      <c r="T125" s="82"/>
      <c r="U125" s="82"/>
      <c r="V125" s="82"/>
      <c r="W125" s="83"/>
    </row>
    <row r="126" spans="2:23" x14ac:dyDescent="0.25">
      <c r="B126" s="84"/>
      <c r="C126" s="66"/>
      <c r="D126" s="66"/>
      <c r="E126" s="66"/>
      <c r="F126" s="66"/>
      <c r="G126" s="66"/>
      <c r="H126" s="66"/>
      <c r="I126" s="66"/>
      <c r="J126" s="66"/>
      <c r="K126" s="82"/>
      <c r="L126" s="82"/>
      <c r="M126" s="82"/>
      <c r="N126" s="82"/>
      <c r="O126" s="82"/>
      <c r="P126" s="82"/>
      <c r="Q126" s="82"/>
      <c r="R126" s="82"/>
      <c r="S126" s="82"/>
      <c r="T126" s="82"/>
      <c r="U126" s="82"/>
      <c r="V126" s="82"/>
      <c r="W126" s="83"/>
    </row>
    <row r="127" spans="2:23" x14ac:dyDescent="0.25">
      <c r="B127" s="84"/>
      <c r="C127" s="66"/>
      <c r="D127" s="66"/>
      <c r="E127" s="66"/>
      <c r="F127" s="66"/>
      <c r="G127" s="66"/>
      <c r="H127" s="66"/>
      <c r="I127" s="66"/>
      <c r="J127" s="66"/>
      <c r="K127" s="82"/>
      <c r="L127" s="82"/>
      <c r="M127" s="82"/>
      <c r="N127" s="82"/>
      <c r="O127" s="82"/>
      <c r="P127" s="82"/>
      <c r="Q127" s="82"/>
      <c r="R127" s="82"/>
      <c r="S127" s="82"/>
      <c r="T127" s="82"/>
      <c r="U127" s="82"/>
      <c r="V127" s="82"/>
      <c r="W127" s="83"/>
    </row>
    <row r="128" spans="2:23" x14ac:dyDescent="0.25">
      <c r="B128" s="84"/>
      <c r="C128" s="66"/>
      <c r="D128" s="66"/>
      <c r="E128" s="66"/>
      <c r="F128" s="66"/>
      <c r="G128" s="66"/>
      <c r="H128" s="66"/>
      <c r="I128" s="66"/>
      <c r="J128" s="66"/>
      <c r="K128" s="82"/>
      <c r="L128" s="82"/>
      <c r="M128" s="82"/>
      <c r="N128" s="82"/>
      <c r="O128" s="82"/>
      <c r="P128" s="82"/>
      <c r="Q128" s="82"/>
      <c r="R128" s="82"/>
      <c r="S128" s="82"/>
      <c r="T128" s="82"/>
      <c r="U128" s="82"/>
      <c r="V128" s="82"/>
      <c r="W128" s="83"/>
    </row>
    <row r="129" spans="2:23" x14ac:dyDescent="0.25">
      <c r="B129" s="84"/>
      <c r="C129" s="66"/>
      <c r="D129" s="66"/>
      <c r="E129" s="66"/>
      <c r="F129" s="66"/>
      <c r="G129" s="66"/>
      <c r="H129" s="66"/>
      <c r="I129" s="66"/>
      <c r="J129" s="66"/>
      <c r="K129" s="82"/>
      <c r="L129" s="82"/>
      <c r="M129" s="82"/>
      <c r="N129" s="82"/>
      <c r="O129" s="82"/>
      <c r="P129" s="82"/>
      <c r="Q129" s="82"/>
      <c r="R129" s="82"/>
      <c r="S129" s="82"/>
      <c r="T129" s="82"/>
      <c r="U129" s="82"/>
      <c r="V129" s="82"/>
      <c r="W129" s="83"/>
    </row>
    <row r="130" spans="2:23" x14ac:dyDescent="0.25">
      <c r="B130" s="84"/>
      <c r="C130" s="66"/>
      <c r="D130" s="66"/>
      <c r="E130" s="66"/>
      <c r="F130" s="66"/>
      <c r="G130" s="66"/>
      <c r="H130" s="66"/>
      <c r="I130" s="66"/>
      <c r="J130" s="66"/>
      <c r="K130" s="82"/>
      <c r="L130" s="82"/>
      <c r="M130" s="82"/>
      <c r="N130" s="82"/>
      <c r="O130" s="82"/>
      <c r="P130" s="82"/>
      <c r="Q130" s="82"/>
      <c r="R130" s="82"/>
      <c r="S130" s="82"/>
      <c r="T130" s="82"/>
      <c r="U130" s="82"/>
      <c r="V130" s="82"/>
      <c r="W130" s="83"/>
    </row>
    <row r="131" spans="2:23" x14ac:dyDescent="0.25">
      <c r="B131" s="84"/>
      <c r="C131" s="66"/>
      <c r="D131" s="66"/>
      <c r="E131" s="66"/>
      <c r="F131" s="66"/>
      <c r="G131" s="66"/>
      <c r="H131" s="66"/>
      <c r="I131" s="66"/>
      <c r="J131" s="66"/>
      <c r="K131" s="82"/>
      <c r="L131" s="82"/>
      <c r="M131" s="82"/>
      <c r="N131" s="82"/>
      <c r="O131" s="82"/>
      <c r="P131" s="82"/>
      <c r="Q131" s="82"/>
      <c r="R131" s="82"/>
      <c r="S131" s="82"/>
      <c r="T131" s="82"/>
      <c r="U131" s="82"/>
      <c r="V131" s="82"/>
      <c r="W131" s="83"/>
    </row>
    <row r="132" spans="2:23" x14ac:dyDescent="0.25">
      <c r="B132" s="84"/>
      <c r="C132" s="66"/>
      <c r="D132" s="66"/>
      <c r="E132" s="66"/>
      <c r="F132" s="66"/>
      <c r="G132" s="66"/>
      <c r="H132" s="66"/>
      <c r="I132" s="66"/>
      <c r="J132" s="66"/>
      <c r="K132" s="82"/>
      <c r="L132" s="82"/>
      <c r="M132" s="82"/>
      <c r="N132" s="82"/>
      <c r="O132" s="82"/>
      <c r="P132" s="82"/>
      <c r="Q132" s="82"/>
      <c r="R132" s="82"/>
      <c r="S132" s="82"/>
      <c r="T132" s="82"/>
      <c r="U132" s="82"/>
      <c r="V132" s="82"/>
      <c r="W132" s="83"/>
    </row>
    <row r="133" spans="2:23" x14ac:dyDescent="0.25">
      <c r="B133" s="84"/>
      <c r="C133" s="66"/>
      <c r="D133" s="66"/>
      <c r="E133" s="66"/>
      <c r="F133" s="66"/>
      <c r="G133" s="66"/>
      <c r="H133" s="66"/>
      <c r="I133" s="66"/>
      <c r="J133" s="66"/>
      <c r="K133" s="82"/>
      <c r="L133" s="82"/>
      <c r="M133" s="82"/>
      <c r="N133" s="82"/>
      <c r="O133" s="82"/>
      <c r="P133" s="82"/>
      <c r="Q133" s="82"/>
      <c r="R133" s="82"/>
      <c r="S133" s="82"/>
      <c r="T133" s="82"/>
      <c r="U133" s="82"/>
      <c r="V133" s="82"/>
      <c r="W133" s="83"/>
    </row>
    <row r="134" spans="2:23" x14ac:dyDescent="0.25">
      <c r="B134" s="84"/>
      <c r="C134" s="66"/>
      <c r="D134" s="66"/>
      <c r="E134" s="66"/>
      <c r="F134" s="66"/>
      <c r="G134" s="66"/>
      <c r="H134" s="66"/>
      <c r="I134" s="66"/>
      <c r="J134" s="66"/>
      <c r="K134" s="82"/>
      <c r="L134" s="82"/>
      <c r="M134" s="82"/>
      <c r="N134" s="82"/>
      <c r="O134" s="82"/>
      <c r="P134" s="82"/>
      <c r="Q134" s="82"/>
      <c r="R134" s="82"/>
      <c r="S134" s="82"/>
      <c r="T134" s="82"/>
      <c r="U134" s="82"/>
      <c r="V134" s="82"/>
      <c r="W134" s="83"/>
    </row>
    <row r="135" spans="2:23" x14ac:dyDescent="0.25">
      <c r="B135" s="84"/>
      <c r="C135" s="66"/>
      <c r="D135" s="66"/>
      <c r="E135" s="66"/>
      <c r="F135" s="66"/>
      <c r="G135" s="66"/>
      <c r="H135" s="66"/>
      <c r="I135" s="66"/>
      <c r="J135" s="66"/>
      <c r="K135" s="82"/>
      <c r="L135" s="82"/>
      <c r="M135" s="82"/>
      <c r="N135" s="82"/>
      <c r="O135" s="82"/>
      <c r="P135" s="82"/>
      <c r="Q135" s="82"/>
      <c r="R135" s="82"/>
      <c r="S135" s="82"/>
      <c r="T135" s="82"/>
      <c r="U135" s="82"/>
      <c r="V135" s="82"/>
      <c r="W135" s="83"/>
    </row>
    <row r="136" spans="2:23" x14ac:dyDescent="0.25">
      <c r="B136" s="84"/>
      <c r="C136" s="66"/>
      <c r="D136" s="66"/>
      <c r="E136" s="66"/>
      <c r="F136" s="66"/>
      <c r="G136" s="66"/>
      <c r="H136" s="66"/>
      <c r="I136" s="66"/>
      <c r="J136" s="66"/>
      <c r="K136" s="82"/>
      <c r="L136" s="82"/>
      <c r="M136" s="82"/>
      <c r="N136" s="82"/>
      <c r="O136" s="82"/>
      <c r="P136" s="82"/>
      <c r="Q136" s="82"/>
      <c r="R136" s="82"/>
      <c r="S136" s="82"/>
      <c r="T136" s="82"/>
      <c r="U136" s="82"/>
      <c r="V136" s="82"/>
      <c r="W136" s="83"/>
    </row>
    <row r="137" spans="2:23" x14ac:dyDescent="0.25">
      <c r="B137" s="84"/>
      <c r="C137" s="66"/>
      <c r="D137" s="66"/>
      <c r="E137" s="66"/>
      <c r="F137" s="66"/>
      <c r="G137" s="66"/>
      <c r="H137" s="66"/>
      <c r="I137" s="66"/>
      <c r="J137" s="66"/>
      <c r="K137" s="82"/>
      <c r="L137" s="82"/>
      <c r="M137" s="82"/>
      <c r="N137" s="82"/>
      <c r="O137" s="82"/>
      <c r="P137" s="82"/>
      <c r="Q137" s="82"/>
      <c r="R137" s="82"/>
      <c r="S137" s="82"/>
      <c r="T137" s="82"/>
      <c r="U137" s="82"/>
      <c r="V137" s="82"/>
      <c r="W137" s="83"/>
    </row>
    <row r="138" spans="2:23" x14ac:dyDescent="0.25">
      <c r="B138" s="84"/>
      <c r="C138" s="66"/>
      <c r="D138" s="66"/>
      <c r="E138" s="66"/>
      <c r="F138" s="66"/>
      <c r="G138" s="66"/>
      <c r="H138" s="66"/>
      <c r="I138" s="66"/>
      <c r="J138" s="66"/>
      <c r="K138" s="82"/>
      <c r="L138" s="82"/>
      <c r="M138" s="82"/>
      <c r="N138" s="82"/>
      <c r="O138" s="82"/>
      <c r="P138" s="82"/>
      <c r="Q138" s="82"/>
      <c r="R138" s="82"/>
      <c r="S138" s="82"/>
      <c r="T138" s="82"/>
      <c r="U138" s="82"/>
      <c r="V138" s="82"/>
      <c r="W138" s="83"/>
    </row>
    <row r="139" spans="2:23" x14ac:dyDescent="0.25">
      <c r="B139" s="84"/>
      <c r="C139" s="66"/>
      <c r="D139" s="66"/>
      <c r="E139" s="66"/>
      <c r="F139" s="66"/>
      <c r="G139" s="66"/>
      <c r="H139" s="66"/>
      <c r="I139" s="66"/>
      <c r="J139" s="66"/>
      <c r="K139" s="82"/>
      <c r="L139" s="82"/>
      <c r="M139" s="82"/>
      <c r="N139" s="82"/>
      <c r="O139" s="82"/>
      <c r="P139" s="82"/>
      <c r="Q139" s="82"/>
      <c r="R139" s="82"/>
      <c r="S139" s="82"/>
      <c r="T139" s="82"/>
      <c r="U139" s="82"/>
      <c r="V139" s="82"/>
      <c r="W139" s="83"/>
    </row>
    <row r="140" spans="2:23" x14ac:dyDescent="0.25">
      <c r="B140" s="84"/>
      <c r="C140" s="66"/>
      <c r="D140" s="66"/>
      <c r="E140" s="66"/>
      <c r="F140" s="66"/>
      <c r="G140" s="66"/>
      <c r="H140" s="66"/>
      <c r="I140" s="66"/>
      <c r="J140" s="66"/>
      <c r="K140" s="82"/>
      <c r="L140" s="82"/>
      <c r="M140" s="82"/>
      <c r="N140" s="82"/>
      <c r="O140" s="82"/>
      <c r="P140" s="82"/>
      <c r="Q140" s="82"/>
      <c r="R140" s="82"/>
      <c r="S140" s="82"/>
      <c r="T140" s="82"/>
      <c r="U140" s="82"/>
      <c r="V140" s="82"/>
      <c r="W140" s="83"/>
    </row>
    <row r="141" spans="2:23" x14ac:dyDescent="0.25">
      <c r="B141" s="84"/>
      <c r="C141" s="66"/>
      <c r="D141" s="66"/>
      <c r="E141" s="66"/>
      <c r="F141" s="66"/>
      <c r="G141" s="66"/>
      <c r="H141" s="66"/>
      <c r="I141" s="66"/>
      <c r="J141" s="66"/>
      <c r="K141" s="82"/>
      <c r="L141" s="82"/>
      <c r="M141" s="82"/>
      <c r="N141" s="82"/>
      <c r="O141" s="82"/>
      <c r="P141" s="82"/>
      <c r="Q141" s="82"/>
      <c r="R141" s="82"/>
      <c r="S141" s="82"/>
      <c r="T141" s="82"/>
      <c r="U141" s="82"/>
      <c r="V141" s="82"/>
      <c r="W141" s="83"/>
    </row>
    <row r="142" spans="2:23" x14ac:dyDescent="0.25">
      <c r="B142" s="84"/>
      <c r="C142" s="66"/>
      <c r="D142" s="66"/>
      <c r="E142" s="66"/>
      <c r="F142" s="66"/>
      <c r="G142" s="66"/>
      <c r="H142" s="66"/>
      <c r="I142" s="66"/>
      <c r="J142" s="66"/>
      <c r="K142" s="82"/>
      <c r="L142" s="82"/>
      <c r="M142" s="82"/>
      <c r="N142" s="82"/>
      <c r="O142" s="82"/>
      <c r="P142" s="82"/>
      <c r="Q142" s="82"/>
      <c r="R142" s="82"/>
      <c r="S142" s="82"/>
      <c r="T142" s="82"/>
      <c r="U142" s="82"/>
      <c r="V142" s="82"/>
      <c r="W142" s="83"/>
    </row>
    <row r="143" spans="2:23" x14ac:dyDescent="0.25">
      <c r="B143" s="84"/>
      <c r="C143" s="66"/>
      <c r="D143" s="66"/>
      <c r="E143" s="66"/>
      <c r="F143" s="66"/>
      <c r="G143" s="66"/>
      <c r="H143" s="66"/>
      <c r="I143" s="66"/>
      <c r="J143" s="66"/>
      <c r="K143" s="82"/>
      <c r="L143" s="82"/>
      <c r="M143" s="82"/>
      <c r="N143" s="82"/>
      <c r="O143" s="82"/>
      <c r="P143" s="82"/>
      <c r="Q143" s="82"/>
      <c r="R143" s="82"/>
      <c r="S143" s="82"/>
      <c r="T143" s="82"/>
      <c r="U143" s="82"/>
      <c r="V143" s="82"/>
      <c r="W143" s="83"/>
    </row>
    <row r="144" spans="2:23" ht="15.75" thickBot="1" x14ac:dyDescent="0.3">
      <c r="B144" s="85"/>
      <c r="C144" s="86"/>
      <c r="D144" s="86"/>
      <c r="E144" s="86"/>
      <c r="F144" s="86"/>
      <c r="G144" s="86"/>
      <c r="H144" s="86"/>
      <c r="I144" s="86"/>
      <c r="J144" s="86"/>
      <c r="K144" s="87"/>
      <c r="L144" s="87"/>
      <c r="M144" s="87"/>
      <c r="N144" s="87"/>
      <c r="O144" s="87"/>
      <c r="P144" s="87"/>
      <c r="Q144" s="87"/>
      <c r="R144" s="87"/>
      <c r="S144" s="87"/>
      <c r="T144" s="87"/>
      <c r="U144" s="87"/>
      <c r="V144" s="87"/>
      <c r="W144" s="88"/>
    </row>
    <row r="145" spans="2:23" ht="15.75" thickBot="1" x14ac:dyDescent="0.3"/>
    <row r="146" spans="2:23" x14ac:dyDescent="0.25">
      <c r="B146" s="89"/>
      <c r="C146" s="90"/>
      <c r="D146" s="90"/>
      <c r="E146" s="90"/>
      <c r="F146" s="90"/>
      <c r="G146" s="90"/>
      <c r="H146" s="90"/>
      <c r="I146" s="90"/>
      <c r="J146" s="90"/>
      <c r="K146" s="79"/>
      <c r="L146" s="79"/>
      <c r="M146" s="79"/>
      <c r="N146" s="79"/>
      <c r="O146" s="79"/>
      <c r="P146" s="79"/>
      <c r="Q146" s="79"/>
      <c r="R146" s="79"/>
      <c r="S146" s="79"/>
      <c r="T146" s="79"/>
      <c r="U146" s="79"/>
      <c r="V146" s="79"/>
      <c r="W146" s="80"/>
    </row>
    <row r="147" spans="2:23" x14ac:dyDescent="0.25">
      <c r="B147" s="84"/>
      <c r="C147" s="66"/>
      <c r="D147" s="66"/>
      <c r="E147" s="66"/>
      <c r="F147" s="66"/>
      <c r="G147" s="66"/>
      <c r="H147" s="66"/>
      <c r="I147" s="66"/>
      <c r="J147" s="66"/>
      <c r="K147" s="82"/>
      <c r="L147" s="82"/>
      <c r="M147" s="82"/>
      <c r="N147" s="82"/>
      <c r="O147" s="82"/>
      <c r="P147" s="82"/>
      <c r="Q147" s="82"/>
      <c r="R147" s="82"/>
      <c r="S147" s="82"/>
      <c r="T147" s="82"/>
      <c r="U147" s="82"/>
      <c r="V147" s="82"/>
      <c r="W147" s="83"/>
    </row>
    <row r="148" spans="2:23" x14ac:dyDescent="0.25">
      <c r="B148" s="84"/>
      <c r="C148" s="66"/>
      <c r="D148" s="66"/>
      <c r="E148" s="66"/>
      <c r="F148" s="66"/>
      <c r="G148" s="66"/>
      <c r="H148" s="66"/>
      <c r="I148" s="66"/>
      <c r="J148" s="66"/>
      <c r="K148" s="82"/>
      <c r="L148" s="82"/>
      <c r="M148" s="82"/>
      <c r="N148" s="82"/>
      <c r="O148" s="82"/>
      <c r="P148" s="82"/>
      <c r="Q148" s="82"/>
      <c r="R148" s="82"/>
      <c r="S148" s="82"/>
      <c r="T148" s="82"/>
      <c r="U148" s="82"/>
      <c r="V148" s="82"/>
      <c r="W148" s="83"/>
    </row>
    <row r="149" spans="2:23" x14ac:dyDescent="0.25">
      <c r="B149" s="84"/>
      <c r="C149" s="66"/>
      <c r="D149" s="66"/>
      <c r="E149" s="66"/>
      <c r="F149" s="66"/>
      <c r="G149" s="66"/>
      <c r="H149" s="66"/>
      <c r="I149" s="66"/>
      <c r="J149" s="66"/>
      <c r="K149" s="82"/>
      <c r="L149" s="82"/>
      <c r="M149" s="82"/>
      <c r="N149" s="82"/>
      <c r="O149" s="82"/>
      <c r="P149" s="82"/>
      <c r="Q149" s="82"/>
      <c r="R149" s="82"/>
      <c r="S149" s="82"/>
      <c r="T149" s="82"/>
      <c r="U149" s="82"/>
      <c r="V149" s="82"/>
      <c r="W149" s="83"/>
    </row>
    <row r="150" spans="2:23" x14ac:dyDescent="0.25">
      <c r="B150" s="84"/>
      <c r="C150" s="66"/>
      <c r="D150" s="66"/>
      <c r="E150" s="66"/>
      <c r="F150" s="66"/>
      <c r="G150" s="66"/>
      <c r="H150" s="66"/>
      <c r="I150" s="66"/>
      <c r="J150" s="66"/>
      <c r="K150" s="82"/>
      <c r="L150" s="82"/>
      <c r="M150" s="82"/>
      <c r="N150" s="82"/>
      <c r="O150" s="82"/>
      <c r="P150" s="82"/>
      <c r="Q150" s="82"/>
      <c r="R150" s="82"/>
      <c r="S150" s="82"/>
      <c r="T150" s="82"/>
      <c r="U150" s="82"/>
      <c r="V150" s="82"/>
      <c r="W150" s="83"/>
    </row>
    <row r="151" spans="2:23" x14ac:dyDescent="0.25">
      <c r="B151" s="84"/>
      <c r="C151" s="66"/>
      <c r="D151" s="66"/>
      <c r="E151" s="66"/>
      <c r="F151" s="66"/>
      <c r="G151" s="66"/>
      <c r="H151" s="66"/>
      <c r="I151" s="66"/>
      <c r="J151" s="66"/>
      <c r="K151" s="82"/>
      <c r="L151" s="82"/>
      <c r="M151" s="82"/>
      <c r="N151" s="82"/>
      <c r="O151" s="82"/>
      <c r="P151" s="82"/>
      <c r="Q151" s="82"/>
      <c r="R151" s="82"/>
      <c r="S151" s="82"/>
      <c r="T151" s="82"/>
      <c r="U151" s="82"/>
      <c r="V151" s="82"/>
      <c r="W151" s="83"/>
    </row>
    <row r="152" spans="2:23" x14ac:dyDescent="0.25">
      <c r="B152" s="84"/>
      <c r="C152" s="66"/>
      <c r="D152" s="66"/>
      <c r="E152" s="66"/>
      <c r="F152" s="66"/>
      <c r="G152" s="66"/>
      <c r="H152" s="66"/>
      <c r="I152" s="66"/>
      <c r="J152" s="66"/>
      <c r="K152" s="82"/>
      <c r="L152" s="82"/>
      <c r="M152" s="82"/>
      <c r="N152" s="82"/>
      <c r="O152" s="82"/>
      <c r="P152" s="82"/>
      <c r="Q152" s="82"/>
      <c r="R152" s="82"/>
      <c r="S152" s="82"/>
      <c r="T152" s="82"/>
      <c r="U152" s="82"/>
      <c r="V152" s="82"/>
      <c r="W152" s="83"/>
    </row>
    <row r="153" spans="2:23" x14ac:dyDescent="0.25">
      <c r="B153" s="84"/>
      <c r="C153" s="66"/>
      <c r="D153" s="66"/>
      <c r="E153" s="66"/>
      <c r="F153" s="66"/>
      <c r="G153" s="66"/>
      <c r="H153" s="66"/>
      <c r="I153" s="66"/>
      <c r="J153" s="66"/>
      <c r="K153" s="82"/>
      <c r="L153" s="82"/>
      <c r="M153" s="82"/>
      <c r="N153" s="82"/>
      <c r="O153" s="82"/>
      <c r="P153" s="82"/>
      <c r="Q153" s="82"/>
      <c r="R153" s="82"/>
      <c r="S153" s="82"/>
      <c r="T153" s="82"/>
      <c r="U153" s="82"/>
      <c r="V153" s="82"/>
      <c r="W153" s="83"/>
    </row>
    <row r="154" spans="2:23" x14ac:dyDescent="0.25">
      <c r="B154" s="84"/>
      <c r="C154" s="66"/>
      <c r="D154" s="66"/>
      <c r="E154" s="66"/>
      <c r="F154" s="66"/>
      <c r="G154" s="66"/>
      <c r="H154" s="66"/>
      <c r="I154" s="66"/>
      <c r="J154" s="66"/>
      <c r="K154" s="82"/>
      <c r="L154" s="82"/>
      <c r="M154" s="82"/>
      <c r="N154" s="82"/>
      <c r="O154" s="82"/>
      <c r="P154" s="82"/>
      <c r="Q154" s="82"/>
      <c r="R154" s="82"/>
      <c r="S154" s="82"/>
      <c r="T154" s="82"/>
      <c r="U154" s="82"/>
      <c r="V154" s="82"/>
      <c r="W154" s="83"/>
    </row>
    <row r="155" spans="2:23" x14ac:dyDescent="0.25">
      <c r="B155" s="84"/>
      <c r="C155" s="66"/>
      <c r="D155" s="66"/>
      <c r="E155" s="66"/>
      <c r="F155" s="66"/>
      <c r="G155" s="66"/>
      <c r="H155" s="66"/>
      <c r="I155" s="66"/>
      <c r="J155" s="66"/>
      <c r="K155" s="82"/>
      <c r="L155" s="82"/>
      <c r="M155" s="82"/>
      <c r="N155" s="82"/>
      <c r="O155" s="82"/>
      <c r="P155" s="82"/>
      <c r="Q155" s="82"/>
      <c r="R155" s="82"/>
      <c r="S155" s="82"/>
      <c r="T155" s="82"/>
      <c r="U155" s="82"/>
      <c r="V155" s="82"/>
      <c r="W155" s="83"/>
    </row>
    <row r="156" spans="2:23" x14ac:dyDescent="0.25">
      <c r="B156" s="84"/>
      <c r="C156" s="66"/>
      <c r="D156" s="66"/>
      <c r="E156" s="66"/>
      <c r="F156" s="66"/>
      <c r="G156" s="66"/>
      <c r="H156" s="66"/>
      <c r="I156" s="66"/>
      <c r="J156" s="66"/>
      <c r="K156" s="82"/>
      <c r="L156" s="82"/>
      <c r="M156" s="82"/>
      <c r="N156" s="82"/>
      <c r="O156" s="82"/>
      <c r="P156" s="82"/>
      <c r="Q156" s="82"/>
      <c r="R156" s="82"/>
      <c r="S156" s="82"/>
      <c r="T156" s="82"/>
      <c r="U156" s="82"/>
      <c r="V156" s="82"/>
      <c r="W156" s="83"/>
    </row>
    <row r="157" spans="2:23" x14ac:dyDescent="0.25">
      <c r="B157" s="84"/>
      <c r="C157" s="66"/>
      <c r="D157" s="66"/>
      <c r="E157" s="66"/>
      <c r="F157" s="66"/>
      <c r="G157" s="66"/>
      <c r="H157" s="66"/>
      <c r="I157" s="66"/>
      <c r="J157" s="66"/>
      <c r="K157" s="82"/>
      <c r="L157" s="82"/>
      <c r="M157" s="82"/>
      <c r="N157" s="82"/>
      <c r="O157" s="82"/>
      <c r="P157" s="82"/>
      <c r="Q157" s="82"/>
      <c r="R157" s="82"/>
      <c r="S157" s="82"/>
      <c r="T157" s="82"/>
      <c r="U157" s="82"/>
      <c r="V157" s="82"/>
      <c r="W157" s="83"/>
    </row>
    <row r="158" spans="2:23" x14ac:dyDescent="0.25">
      <c r="B158" s="84"/>
      <c r="C158" s="66"/>
      <c r="D158" s="66"/>
      <c r="E158" s="66"/>
      <c r="F158" s="66"/>
      <c r="G158" s="66"/>
      <c r="H158" s="66"/>
      <c r="I158" s="66"/>
      <c r="J158" s="66"/>
      <c r="K158" s="82"/>
      <c r="L158" s="82"/>
      <c r="M158" s="82"/>
      <c r="N158" s="82"/>
      <c r="O158" s="82"/>
      <c r="P158" s="82"/>
      <c r="Q158" s="82"/>
      <c r="R158" s="82"/>
      <c r="S158" s="82"/>
      <c r="T158" s="82"/>
      <c r="U158" s="82"/>
      <c r="V158" s="82"/>
      <c r="W158" s="83"/>
    </row>
    <row r="159" spans="2:23" x14ac:dyDescent="0.25">
      <c r="B159" s="84"/>
      <c r="C159" s="66"/>
      <c r="D159" s="66"/>
      <c r="E159" s="66"/>
      <c r="F159" s="66"/>
      <c r="G159" s="66"/>
      <c r="H159" s="66"/>
      <c r="I159" s="66"/>
      <c r="J159" s="66"/>
      <c r="K159" s="82"/>
      <c r="L159" s="82"/>
      <c r="M159" s="82"/>
      <c r="N159" s="82"/>
      <c r="O159" s="82"/>
      <c r="P159" s="82"/>
      <c r="Q159" s="82"/>
      <c r="R159" s="82"/>
      <c r="S159" s="82"/>
      <c r="T159" s="82"/>
      <c r="U159" s="82"/>
      <c r="V159" s="82"/>
      <c r="W159" s="83"/>
    </row>
    <row r="160" spans="2:23" x14ac:dyDescent="0.25">
      <c r="B160" s="84"/>
      <c r="C160" s="66"/>
      <c r="D160" s="66"/>
      <c r="E160" s="66"/>
      <c r="F160" s="66"/>
      <c r="G160" s="66"/>
      <c r="H160" s="66"/>
      <c r="I160" s="66"/>
      <c r="J160" s="66"/>
      <c r="K160" s="82"/>
      <c r="L160" s="82"/>
      <c r="M160" s="82"/>
      <c r="N160" s="82"/>
      <c r="O160" s="82"/>
      <c r="P160" s="82"/>
      <c r="Q160" s="82"/>
      <c r="R160" s="82"/>
      <c r="S160" s="82"/>
      <c r="T160" s="82"/>
      <c r="U160" s="82"/>
      <c r="V160" s="82"/>
      <c r="W160" s="83"/>
    </row>
    <row r="161" spans="2:23" x14ac:dyDescent="0.25">
      <c r="B161" s="84"/>
      <c r="C161" s="66"/>
      <c r="D161" s="66"/>
      <c r="E161" s="66"/>
      <c r="F161" s="66"/>
      <c r="G161" s="66"/>
      <c r="H161" s="66"/>
      <c r="I161" s="66"/>
      <c r="J161" s="66"/>
      <c r="K161" s="82"/>
      <c r="L161" s="82"/>
      <c r="M161" s="82"/>
      <c r="N161" s="82"/>
      <c r="O161" s="82"/>
      <c r="P161" s="82"/>
      <c r="Q161" s="82"/>
      <c r="R161" s="82"/>
      <c r="S161" s="82"/>
      <c r="T161" s="82"/>
      <c r="U161" s="82"/>
      <c r="V161" s="82"/>
      <c r="W161" s="83"/>
    </row>
    <row r="162" spans="2:23" x14ac:dyDescent="0.25">
      <c r="B162" s="84"/>
      <c r="C162" s="66"/>
      <c r="D162" s="66"/>
      <c r="E162" s="66"/>
      <c r="F162" s="66"/>
      <c r="G162" s="66"/>
      <c r="H162" s="66"/>
      <c r="I162" s="66"/>
      <c r="J162" s="66"/>
      <c r="K162" s="82"/>
      <c r="L162" s="82"/>
      <c r="M162" s="82"/>
      <c r="N162" s="82"/>
      <c r="O162" s="82"/>
      <c r="P162" s="82"/>
      <c r="Q162" s="82"/>
      <c r="R162" s="82"/>
      <c r="S162" s="82"/>
      <c r="T162" s="82"/>
      <c r="U162" s="82"/>
      <c r="V162" s="82"/>
      <c r="W162" s="83"/>
    </row>
    <row r="163" spans="2:23" x14ac:dyDescent="0.25">
      <c r="B163" s="84"/>
      <c r="C163" s="66"/>
      <c r="D163" s="66"/>
      <c r="E163" s="66"/>
      <c r="F163" s="66"/>
      <c r="G163" s="66"/>
      <c r="H163" s="66"/>
      <c r="I163" s="66"/>
      <c r="J163" s="66"/>
      <c r="K163" s="82"/>
      <c r="L163" s="82"/>
      <c r="M163" s="82"/>
      <c r="N163" s="82"/>
      <c r="O163" s="82"/>
      <c r="P163" s="82"/>
      <c r="Q163" s="82"/>
      <c r="R163" s="82"/>
      <c r="S163" s="82"/>
      <c r="T163" s="82"/>
      <c r="U163" s="82"/>
      <c r="V163" s="82"/>
      <c r="W163" s="83"/>
    </row>
    <row r="164" spans="2:23" x14ac:dyDescent="0.25">
      <c r="B164" s="84"/>
      <c r="C164" s="66"/>
      <c r="D164" s="66"/>
      <c r="E164" s="66"/>
      <c r="F164" s="66"/>
      <c r="G164" s="66"/>
      <c r="H164" s="66"/>
      <c r="I164" s="66"/>
      <c r="J164" s="66"/>
      <c r="K164" s="82"/>
      <c r="L164" s="82"/>
      <c r="M164" s="82"/>
      <c r="N164" s="82"/>
      <c r="O164" s="82"/>
      <c r="P164" s="82"/>
      <c r="Q164" s="82"/>
      <c r="R164" s="82"/>
      <c r="S164" s="82"/>
      <c r="T164" s="82"/>
      <c r="U164" s="82"/>
      <c r="V164" s="82"/>
      <c r="W164" s="83"/>
    </row>
    <row r="165" spans="2:23" x14ac:dyDescent="0.25">
      <c r="B165" s="84"/>
      <c r="C165" s="66"/>
      <c r="D165" s="66"/>
      <c r="E165" s="66"/>
      <c r="F165" s="66"/>
      <c r="G165" s="66"/>
      <c r="H165" s="66"/>
      <c r="I165" s="66"/>
      <c r="J165" s="66"/>
      <c r="K165" s="82"/>
      <c r="L165" s="82"/>
      <c r="M165" s="82"/>
      <c r="N165" s="82"/>
      <c r="O165" s="82"/>
      <c r="P165" s="82"/>
      <c r="Q165" s="82"/>
      <c r="R165" s="82"/>
      <c r="S165" s="82"/>
      <c r="T165" s="82"/>
      <c r="U165" s="82"/>
      <c r="V165" s="82"/>
      <c r="W165" s="83"/>
    </row>
    <row r="166" spans="2:23" x14ac:dyDescent="0.25">
      <c r="B166" s="84"/>
      <c r="C166" s="66"/>
      <c r="D166" s="66"/>
      <c r="E166" s="66"/>
      <c r="F166" s="66"/>
      <c r="G166" s="66"/>
      <c r="H166" s="66"/>
      <c r="I166" s="66"/>
      <c r="J166" s="66"/>
      <c r="K166" s="82"/>
      <c r="L166" s="82"/>
      <c r="M166" s="82"/>
      <c r="N166" s="82"/>
      <c r="O166" s="82"/>
      <c r="P166" s="82"/>
      <c r="Q166" s="82"/>
      <c r="R166" s="82"/>
      <c r="S166" s="82"/>
      <c r="T166" s="82"/>
      <c r="U166" s="82"/>
      <c r="V166" s="82"/>
      <c r="W166" s="83"/>
    </row>
    <row r="167" spans="2:23" x14ac:dyDescent="0.25">
      <c r="B167" s="84"/>
      <c r="C167" s="66"/>
      <c r="D167" s="66"/>
      <c r="E167" s="66"/>
      <c r="F167" s="66"/>
      <c r="G167" s="66"/>
      <c r="H167" s="66"/>
      <c r="I167" s="66"/>
      <c r="J167" s="66"/>
      <c r="K167" s="82"/>
      <c r="L167" s="82"/>
      <c r="M167" s="82"/>
      <c r="N167" s="82"/>
      <c r="O167" s="82"/>
      <c r="P167" s="82"/>
      <c r="Q167" s="82"/>
      <c r="R167" s="82"/>
      <c r="S167" s="82"/>
      <c r="T167" s="82"/>
      <c r="U167" s="82"/>
      <c r="V167" s="82"/>
      <c r="W167" s="83"/>
    </row>
    <row r="168" spans="2:23" x14ac:dyDescent="0.25">
      <c r="B168" s="84"/>
      <c r="C168" s="66"/>
      <c r="D168" s="66"/>
      <c r="E168" s="66"/>
      <c r="F168" s="66"/>
      <c r="G168" s="66"/>
      <c r="H168" s="66"/>
      <c r="I168" s="66"/>
      <c r="J168" s="66"/>
      <c r="K168" s="82"/>
      <c r="L168" s="82"/>
      <c r="M168" s="82"/>
      <c r="N168" s="82"/>
      <c r="O168" s="82"/>
      <c r="P168" s="82"/>
      <c r="Q168" s="82"/>
      <c r="R168" s="82"/>
      <c r="S168" s="82"/>
      <c r="T168" s="82"/>
      <c r="U168" s="82"/>
      <c r="V168" s="82"/>
      <c r="W168" s="83"/>
    </row>
    <row r="169" spans="2:23" x14ac:dyDescent="0.25">
      <c r="B169" s="84"/>
      <c r="C169" s="66"/>
      <c r="D169" s="66"/>
      <c r="E169" s="66"/>
      <c r="F169" s="66"/>
      <c r="G169" s="66"/>
      <c r="H169" s="66"/>
      <c r="I169" s="66"/>
      <c r="J169" s="66"/>
      <c r="K169" s="82"/>
      <c r="L169" s="82"/>
      <c r="M169" s="82"/>
      <c r="N169" s="82"/>
      <c r="O169" s="82"/>
      <c r="P169" s="82"/>
      <c r="Q169" s="82"/>
      <c r="R169" s="82"/>
      <c r="S169" s="82"/>
      <c r="T169" s="82"/>
      <c r="U169" s="82"/>
      <c r="V169" s="82"/>
      <c r="W169" s="83"/>
    </row>
    <row r="170" spans="2:23" x14ac:dyDescent="0.25">
      <c r="B170" s="84"/>
      <c r="C170" s="66"/>
      <c r="D170" s="66"/>
      <c r="E170" s="66"/>
      <c r="F170" s="66"/>
      <c r="G170" s="66"/>
      <c r="H170" s="66"/>
      <c r="I170" s="66"/>
      <c r="J170" s="66"/>
      <c r="K170" s="82"/>
      <c r="L170" s="82"/>
      <c r="M170" s="82"/>
      <c r="N170" s="82"/>
      <c r="O170" s="82"/>
      <c r="P170" s="82"/>
      <c r="Q170" s="82"/>
      <c r="R170" s="82"/>
      <c r="S170" s="82"/>
      <c r="T170" s="82"/>
      <c r="U170" s="82"/>
      <c r="V170" s="82"/>
      <c r="W170" s="83"/>
    </row>
    <row r="171" spans="2:23" x14ac:dyDescent="0.25">
      <c r="B171" s="84"/>
      <c r="C171" s="66"/>
      <c r="D171" s="66"/>
      <c r="E171" s="66"/>
      <c r="F171" s="66"/>
      <c r="G171" s="66"/>
      <c r="H171" s="66"/>
      <c r="I171" s="66"/>
      <c r="J171" s="66"/>
      <c r="K171" s="82"/>
      <c r="L171" s="82"/>
      <c r="M171" s="82"/>
      <c r="N171" s="82"/>
      <c r="O171" s="82"/>
      <c r="P171" s="82"/>
      <c r="Q171" s="82"/>
      <c r="R171" s="82"/>
      <c r="S171" s="82"/>
      <c r="T171" s="82"/>
      <c r="U171" s="82"/>
      <c r="V171" s="82"/>
      <c r="W171" s="83"/>
    </row>
    <row r="172" spans="2:23" x14ac:dyDescent="0.25">
      <c r="B172" s="84"/>
      <c r="C172" s="66"/>
      <c r="D172" s="66"/>
      <c r="E172" s="66"/>
      <c r="F172" s="66"/>
      <c r="G172" s="66"/>
      <c r="H172" s="66"/>
      <c r="I172" s="66"/>
      <c r="J172" s="66"/>
      <c r="K172" s="82"/>
      <c r="L172" s="82"/>
      <c r="M172" s="82"/>
      <c r="N172" s="82"/>
      <c r="O172" s="82"/>
      <c r="P172" s="82"/>
      <c r="Q172" s="82"/>
      <c r="R172" s="82"/>
      <c r="S172" s="82"/>
      <c r="T172" s="82"/>
      <c r="U172" s="82"/>
      <c r="V172" s="82"/>
      <c r="W172" s="83"/>
    </row>
    <row r="173" spans="2:23" x14ac:dyDescent="0.25">
      <c r="B173" s="84"/>
      <c r="C173" s="66"/>
      <c r="D173" s="66"/>
      <c r="E173" s="66"/>
      <c r="F173" s="66"/>
      <c r="G173" s="66"/>
      <c r="H173" s="66"/>
      <c r="I173" s="66"/>
      <c r="J173" s="66"/>
      <c r="K173" s="82"/>
      <c r="L173" s="82"/>
      <c r="M173" s="82"/>
      <c r="N173" s="82"/>
      <c r="O173" s="82"/>
      <c r="P173" s="82"/>
      <c r="Q173" s="82"/>
      <c r="R173" s="82"/>
      <c r="S173" s="82"/>
      <c r="T173" s="82"/>
      <c r="U173" s="82"/>
      <c r="V173" s="82"/>
      <c r="W173" s="83"/>
    </row>
    <row r="174" spans="2:23" x14ac:dyDescent="0.25">
      <c r="B174" s="84"/>
      <c r="C174" s="66"/>
      <c r="D174" s="66"/>
      <c r="E174" s="66"/>
      <c r="F174" s="66"/>
      <c r="G174" s="66"/>
      <c r="H174" s="66"/>
      <c r="I174" s="66"/>
      <c r="J174" s="66"/>
      <c r="K174" s="82"/>
      <c r="L174" s="82"/>
      <c r="M174" s="82"/>
      <c r="N174" s="82"/>
      <c r="O174" s="82"/>
      <c r="P174" s="82"/>
      <c r="Q174" s="82"/>
      <c r="R174" s="82"/>
      <c r="S174" s="82"/>
      <c r="T174" s="82"/>
      <c r="U174" s="82"/>
      <c r="V174" s="82"/>
      <c r="W174" s="83"/>
    </row>
    <row r="175" spans="2:23" x14ac:dyDescent="0.25">
      <c r="B175" s="84"/>
      <c r="C175" s="66"/>
      <c r="D175" s="66"/>
      <c r="E175" s="66"/>
      <c r="F175" s="66"/>
      <c r="G175" s="66"/>
      <c r="H175" s="66"/>
      <c r="I175" s="66"/>
      <c r="J175" s="66"/>
      <c r="K175" s="82"/>
      <c r="L175" s="82"/>
      <c r="M175" s="82"/>
      <c r="N175" s="82"/>
      <c r="O175" s="82"/>
      <c r="P175" s="82"/>
      <c r="Q175" s="82"/>
      <c r="R175" s="82"/>
      <c r="S175" s="82"/>
      <c r="T175" s="82"/>
      <c r="U175" s="82"/>
      <c r="V175" s="82"/>
      <c r="W175" s="83"/>
    </row>
    <row r="176" spans="2:23" ht="15.75" thickBot="1" x14ac:dyDescent="0.3">
      <c r="B176" s="85"/>
      <c r="C176" s="86"/>
      <c r="D176" s="86"/>
      <c r="E176" s="86"/>
      <c r="F176" s="86"/>
      <c r="G176" s="86"/>
      <c r="H176" s="86"/>
      <c r="I176" s="86"/>
      <c r="J176" s="86"/>
      <c r="K176" s="87"/>
      <c r="L176" s="87"/>
      <c r="M176" s="87"/>
      <c r="N176" s="87"/>
      <c r="O176" s="87"/>
      <c r="P176" s="87"/>
      <c r="Q176" s="87"/>
      <c r="R176" s="87"/>
      <c r="S176" s="87"/>
      <c r="T176" s="87"/>
      <c r="U176" s="87"/>
      <c r="V176" s="87"/>
      <c r="W176" s="88"/>
    </row>
    <row r="178" spans="2:24" x14ac:dyDescent="0.25">
      <c r="B178" s="65"/>
      <c r="C178" s="66"/>
      <c r="D178" s="66"/>
      <c r="E178" s="66"/>
      <c r="F178" s="66"/>
      <c r="G178" s="66"/>
      <c r="H178" s="66"/>
      <c r="I178" s="66"/>
      <c r="J178" s="66"/>
      <c r="K178" s="82"/>
      <c r="L178" s="82"/>
      <c r="M178" s="82"/>
      <c r="N178" s="82"/>
      <c r="O178" s="82"/>
      <c r="P178" s="82"/>
      <c r="Q178" s="82"/>
      <c r="R178" s="82"/>
      <c r="S178" s="82"/>
      <c r="T178" s="82"/>
      <c r="U178" s="82"/>
      <c r="V178" s="82"/>
      <c r="W178" s="82"/>
    </row>
    <row r="179" spans="2:24" x14ac:dyDescent="0.25">
      <c r="B179" s="65"/>
      <c r="C179" s="66"/>
      <c r="D179" s="66"/>
      <c r="E179" s="66"/>
      <c r="F179" s="66"/>
      <c r="G179" s="66"/>
      <c r="H179" s="66"/>
      <c r="I179" s="66"/>
      <c r="J179" s="66"/>
      <c r="K179" s="82"/>
      <c r="L179" s="82"/>
      <c r="M179" s="82"/>
      <c r="N179" s="82"/>
      <c r="O179" s="82"/>
      <c r="P179" s="82"/>
      <c r="Q179" s="82"/>
      <c r="R179" s="82"/>
      <c r="S179" s="82"/>
      <c r="T179" s="82"/>
      <c r="U179" s="82"/>
      <c r="V179" s="82"/>
      <c r="W179" s="82"/>
    </row>
    <row r="180" spans="2:24" x14ac:dyDescent="0.25">
      <c r="B180" s="65"/>
      <c r="C180" s="66"/>
      <c r="D180" s="66"/>
      <c r="E180" s="66"/>
      <c r="F180" s="66"/>
      <c r="G180" s="66"/>
      <c r="H180" s="66"/>
      <c r="I180" s="66"/>
      <c r="J180" s="66"/>
      <c r="K180" s="82"/>
      <c r="L180" s="82"/>
      <c r="M180" s="82"/>
      <c r="N180" s="82"/>
      <c r="O180" s="82"/>
      <c r="P180" s="82"/>
      <c r="Q180" s="82"/>
      <c r="R180" s="82"/>
      <c r="S180" s="82"/>
      <c r="T180" s="82"/>
      <c r="U180" s="82"/>
      <c r="V180" s="82"/>
      <c r="W180" s="82"/>
    </row>
    <row r="181" spans="2:24" x14ac:dyDescent="0.25">
      <c r="B181" s="65"/>
      <c r="C181" s="66"/>
      <c r="D181" s="66"/>
      <c r="E181" s="66"/>
      <c r="F181" s="66"/>
      <c r="G181" s="66"/>
      <c r="H181" s="66"/>
      <c r="I181" s="66"/>
      <c r="J181" s="66"/>
      <c r="K181" s="82"/>
      <c r="L181" s="82"/>
      <c r="M181" s="82"/>
      <c r="N181" s="82"/>
      <c r="O181" s="82"/>
      <c r="P181" s="82"/>
      <c r="Q181" s="82"/>
      <c r="R181" s="82"/>
      <c r="S181" s="82"/>
      <c r="T181" s="82"/>
      <c r="U181" s="82"/>
      <c r="V181" s="82"/>
      <c r="W181" s="82"/>
    </row>
    <row r="182" spans="2:24" x14ac:dyDescent="0.25">
      <c r="B182" s="65"/>
      <c r="C182" s="66"/>
      <c r="D182" s="66"/>
      <c r="E182" s="66"/>
      <c r="F182" s="66"/>
      <c r="G182" s="66"/>
      <c r="H182" s="66"/>
      <c r="I182" s="66"/>
      <c r="J182" s="66"/>
      <c r="K182" s="82"/>
      <c r="L182" s="82"/>
      <c r="M182" s="82"/>
      <c r="N182" s="82"/>
      <c r="O182" s="82"/>
      <c r="P182" s="82"/>
      <c r="Q182" s="82"/>
      <c r="R182" s="82"/>
      <c r="S182" s="82"/>
      <c r="T182" s="82"/>
      <c r="U182" s="82"/>
      <c r="V182" s="82"/>
      <c r="W182" s="82"/>
    </row>
    <row r="183" spans="2:24" x14ac:dyDescent="0.25">
      <c r="B183" s="65"/>
      <c r="C183" s="66"/>
      <c r="D183" s="66"/>
      <c r="E183" s="66"/>
      <c r="F183" s="66"/>
      <c r="G183" s="66"/>
      <c r="H183" s="66"/>
      <c r="I183" s="66"/>
      <c r="J183" s="66"/>
      <c r="K183" s="82"/>
      <c r="L183" s="82"/>
      <c r="M183" s="82"/>
      <c r="N183" s="82"/>
      <c r="O183" s="82"/>
      <c r="P183" s="82"/>
      <c r="Q183" s="82"/>
      <c r="R183" s="82"/>
      <c r="S183" s="82"/>
      <c r="T183" s="82"/>
      <c r="U183" s="82"/>
      <c r="V183" s="82"/>
      <c r="W183" s="82"/>
    </row>
    <row r="184" spans="2:24" x14ac:dyDescent="0.25">
      <c r="B184" s="65"/>
      <c r="C184" s="66"/>
      <c r="D184" s="66"/>
      <c r="E184" s="66"/>
      <c r="F184" s="66"/>
      <c r="G184" s="66"/>
      <c r="H184" s="66"/>
      <c r="I184" s="66"/>
      <c r="J184" s="66"/>
      <c r="K184" s="82"/>
      <c r="L184" s="82"/>
      <c r="M184" s="82"/>
      <c r="N184" s="82"/>
      <c r="O184" s="82"/>
      <c r="P184" s="82"/>
      <c r="Q184" s="82"/>
      <c r="R184" s="82"/>
      <c r="S184" s="82"/>
      <c r="T184" s="82"/>
      <c r="U184" s="82"/>
      <c r="V184" s="82"/>
      <c r="W184" s="82"/>
    </row>
    <row r="185" spans="2:24" x14ac:dyDescent="0.25">
      <c r="B185" s="65"/>
      <c r="C185" s="66"/>
      <c r="D185" s="66"/>
      <c r="E185" s="66"/>
      <c r="F185" s="66"/>
      <c r="G185" s="66"/>
      <c r="H185" s="66"/>
      <c r="I185" s="66"/>
      <c r="J185" s="66"/>
      <c r="K185" s="82"/>
      <c r="L185" s="82"/>
      <c r="M185" s="82"/>
      <c r="N185" s="82"/>
      <c r="O185" s="82"/>
      <c r="P185" s="82"/>
      <c r="Q185" s="82"/>
      <c r="R185" s="82"/>
      <c r="S185" s="82"/>
      <c r="T185" s="82"/>
      <c r="U185" s="82"/>
      <c r="V185" s="82"/>
      <c r="W185" s="82"/>
    </row>
    <row r="186" spans="2:24" x14ac:dyDescent="0.25">
      <c r="B186" s="65"/>
      <c r="C186" s="66"/>
      <c r="D186" s="66"/>
      <c r="E186" s="66"/>
      <c r="F186" s="66"/>
      <c r="G186" s="66"/>
      <c r="H186" s="66"/>
      <c r="I186" s="66"/>
      <c r="J186" s="66"/>
      <c r="K186" s="82"/>
      <c r="L186" s="82"/>
      <c r="M186" s="82"/>
      <c r="N186" s="82"/>
      <c r="O186" s="82"/>
      <c r="P186" s="82"/>
      <c r="Q186" s="82"/>
      <c r="R186" s="82"/>
      <c r="S186" s="82"/>
      <c r="T186" s="82"/>
      <c r="U186" s="82"/>
      <c r="V186" s="82"/>
      <c r="W186" s="82"/>
    </row>
    <row r="187" spans="2:24" x14ac:dyDescent="0.25">
      <c r="B187" s="65"/>
      <c r="C187" s="66"/>
      <c r="D187" s="66"/>
      <c r="E187" s="66"/>
      <c r="F187" s="66"/>
      <c r="G187" s="66"/>
      <c r="H187" s="66"/>
      <c r="I187" s="66"/>
      <c r="J187" s="66"/>
      <c r="K187" s="82"/>
      <c r="L187" s="82"/>
      <c r="M187" s="82"/>
      <c r="N187" s="82"/>
      <c r="O187" s="82"/>
      <c r="P187" s="82"/>
      <c r="Q187" s="82"/>
      <c r="R187" s="82"/>
      <c r="S187" s="82"/>
      <c r="T187" s="82"/>
      <c r="U187" s="82"/>
      <c r="V187" s="82"/>
      <c r="W187" s="82"/>
    </row>
    <row r="188" spans="2:24" x14ac:dyDescent="0.25">
      <c r="B188" s="65"/>
      <c r="C188" s="66"/>
      <c r="D188" s="66"/>
      <c r="E188" s="66"/>
      <c r="F188" s="66"/>
      <c r="G188" s="66"/>
      <c r="H188" s="66"/>
      <c r="I188" s="66"/>
      <c r="J188" s="66"/>
      <c r="K188" s="82"/>
      <c r="L188" s="82"/>
      <c r="M188" s="82"/>
      <c r="N188" s="82"/>
      <c r="O188" s="82"/>
      <c r="P188" s="82"/>
      <c r="Q188" s="82"/>
      <c r="R188" s="82"/>
      <c r="S188" s="82"/>
      <c r="T188" s="82"/>
      <c r="U188" s="82"/>
      <c r="V188" s="82"/>
      <c r="W188" s="82"/>
    </row>
    <row r="189" spans="2:24" x14ac:dyDescent="0.25">
      <c r="B189" s="65"/>
      <c r="C189" s="66"/>
      <c r="D189" s="66"/>
      <c r="E189" s="66"/>
      <c r="F189" s="66"/>
      <c r="G189" s="66"/>
      <c r="H189" s="66"/>
      <c r="I189" s="66"/>
      <c r="J189" s="66"/>
      <c r="K189" s="82"/>
      <c r="L189" s="82"/>
      <c r="M189" s="82"/>
      <c r="N189" s="82"/>
      <c r="O189" s="82"/>
      <c r="P189" s="82"/>
      <c r="Q189" s="82"/>
      <c r="R189" s="82"/>
      <c r="S189" s="82"/>
      <c r="T189" s="82"/>
      <c r="U189" s="82"/>
      <c r="V189" s="82"/>
      <c r="W189" s="82"/>
      <c r="X189" s="82"/>
    </row>
    <row r="190" spans="2:24" x14ac:dyDescent="0.25">
      <c r="B190" s="65"/>
      <c r="C190" s="66"/>
      <c r="D190" s="66"/>
      <c r="E190" s="66"/>
      <c r="F190" s="66"/>
      <c r="G190" s="66"/>
      <c r="H190" s="66"/>
      <c r="I190" s="66"/>
      <c r="J190" s="66"/>
      <c r="K190" s="82"/>
      <c r="L190" s="82"/>
      <c r="M190" s="82"/>
      <c r="N190" s="82"/>
      <c r="O190" s="82"/>
      <c r="P190" s="82"/>
      <c r="Q190" s="82"/>
      <c r="R190" s="82"/>
      <c r="S190" s="82"/>
      <c r="T190" s="82"/>
      <c r="U190" s="82"/>
      <c r="V190" s="82"/>
      <c r="W190" s="82"/>
      <c r="X190" s="82"/>
    </row>
    <row r="191" spans="2:24" x14ac:dyDescent="0.25">
      <c r="B191" s="65"/>
      <c r="C191" s="66"/>
      <c r="D191" s="66"/>
      <c r="E191" s="66"/>
      <c r="F191" s="66"/>
      <c r="G191" s="66"/>
      <c r="H191" s="66"/>
      <c r="I191" s="66"/>
      <c r="J191" s="66"/>
      <c r="K191" s="82"/>
      <c r="L191" s="82"/>
      <c r="M191" s="82"/>
      <c r="N191" s="82"/>
      <c r="O191" s="82"/>
      <c r="P191" s="82"/>
      <c r="Q191" s="82"/>
      <c r="R191" s="82"/>
      <c r="S191" s="82"/>
      <c r="T191" s="82"/>
      <c r="U191" s="82"/>
      <c r="V191" s="82"/>
      <c r="W191" s="82"/>
      <c r="X191" s="82"/>
    </row>
    <row r="192" spans="2:24" x14ac:dyDescent="0.25">
      <c r="B192" s="65"/>
      <c r="C192" s="66"/>
      <c r="D192" s="66"/>
      <c r="E192" s="66"/>
      <c r="F192" s="66"/>
      <c r="G192" s="66"/>
      <c r="H192" s="66"/>
      <c r="I192" s="66"/>
      <c r="J192" s="66"/>
      <c r="K192" s="82"/>
      <c r="L192" s="82"/>
      <c r="M192" s="82"/>
      <c r="N192" s="82"/>
      <c r="O192" s="82"/>
      <c r="P192" s="82"/>
      <c r="Q192" s="82"/>
      <c r="R192" s="82"/>
      <c r="S192" s="82"/>
      <c r="T192" s="82"/>
      <c r="U192" s="82"/>
      <c r="V192" s="82"/>
      <c r="W192" s="82"/>
      <c r="X192" s="82"/>
    </row>
    <row r="193" spans="2:24" x14ac:dyDescent="0.25">
      <c r="B193" s="65"/>
      <c r="C193" s="66"/>
      <c r="D193" s="66"/>
      <c r="E193" s="66"/>
      <c r="F193" s="66"/>
      <c r="G193" s="66"/>
      <c r="H193" s="66"/>
      <c r="I193" s="66"/>
      <c r="J193" s="66"/>
      <c r="K193" s="82"/>
      <c r="L193" s="82"/>
      <c r="M193" s="82"/>
      <c r="N193" s="82"/>
      <c r="O193" s="82"/>
      <c r="P193" s="82"/>
      <c r="Q193" s="82"/>
      <c r="R193" s="82"/>
      <c r="S193" s="82"/>
      <c r="T193" s="82"/>
      <c r="U193" s="82"/>
      <c r="V193" s="82"/>
      <c r="W193" s="82"/>
      <c r="X193" s="82"/>
    </row>
    <row r="194" spans="2:24" x14ac:dyDescent="0.25">
      <c r="B194" s="65"/>
      <c r="C194" s="66"/>
      <c r="D194" s="66"/>
      <c r="E194" s="66"/>
      <c r="F194" s="66"/>
      <c r="G194" s="66"/>
      <c r="H194" s="66"/>
      <c r="I194" s="66"/>
      <c r="J194" s="66"/>
      <c r="K194" s="82"/>
      <c r="L194" s="82"/>
      <c r="M194" s="82"/>
      <c r="N194" s="82"/>
      <c r="O194" s="82"/>
      <c r="P194" s="82"/>
      <c r="Q194" s="82"/>
      <c r="R194" s="82"/>
      <c r="S194" s="82"/>
      <c r="T194" s="82"/>
      <c r="U194" s="82"/>
      <c r="V194" s="82"/>
      <c r="W194" s="82"/>
      <c r="X194" s="82"/>
    </row>
    <row r="195" spans="2:24" x14ac:dyDescent="0.25">
      <c r="B195" s="65"/>
      <c r="C195" s="66"/>
      <c r="D195" s="66"/>
      <c r="E195" s="66"/>
      <c r="F195" s="66"/>
      <c r="G195" s="66"/>
      <c r="H195" s="66"/>
      <c r="I195" s="66"/>
      <c r="J195" s="66"/>
      <c r="K195" s="82"/>
      <c r="L195" s="82"/>
      <c r="M195" s="82"/>
      <c r="N195" s="82"/>
      <c r="O195" s="82"/>
      <c r="P195" s="82"/>
      <c r="Q195" s="82"/>
      <c r="R195" s="82"/>
      <c r="S195" s="82"/>
      <c r="T195" s="82"/>
      <c r="U195" s="82"/>
      <c r="V195" s="82"/>
      <c r="W195" s="82"/>
      <c r="X195" s="82"/>
    </row>
    <row r="196" spans="2:24" x14ac:dyDescent="0.25">
      <c r="B196" s="65"/>
      <c r="C196" s="66"/>
      <c r="D196" s="66"/>
      <c r="E196" s="66"/>
      <c r="F196" s="66"/>
      <c r="G196" s="66"/>
      <c r="H196" s="66"/>
      <c r="I196" s="66"/>
      <c r="J196" s="66"/>
      <c r="K196" s="82"/>
      <c r="L196" s="82"/>
      <c r="M196" s="82"/>
      <c r="N196" s="82"/>
      <c r="O196" s="82"/>
      <c r="P196" s="82"/>
      <c r="Q196" s="82"/>
      <c r="R196" s="82"/>
      <c r="S196" s="82"/>
      <c r="T196" s="82"/>
      <c r="U196" s="82"/>
      <c r="V196" s="82"/>
      <c r="W196" s="82"/>
      <c r="X196" s="82"/>
    </row>
    <row r="197" spans="2:24" x14ac:dyDescent="0.25">
      <c r="B197" s="65"/>
      <c r="C197" s="66"/>
      <c r="D197" s="66"/>
      <c r="E197" s="66"/>
      <c r="F197" s="66"/>
      <c r="G197" s="66"/>
      <c r="H197" s="66"/>
      <c r="I197" s="66"/>
      <c r="J197" s="66"/>
      <c r="K197" s="82"/>
      <c r="L197" s="82"/>
      <c r="M197" s="82"/>
      <c r="N197" s="82"/>
      <c r="O197" s="82"/>
      <c r="P197" s="82"/>
      <c r="Q197" s="82"/>
      <c r="R197" s="82"/>
      <c r="S197" s="82"/>
      <c r="T197" s="82"/>
      <c r="U197" s="82"/>
      <c r="V197" s="82"/>
      <c r="W197" s="82"/>
      <c r="X197" s="82"/>
    </row>
    <row r="198" spans="2:24" x14ac:dyDescent="0.25">
      <c r="B198" s="65"/>
      <c r="C198" s="66"/>
      <c r="D198" s="66"/>
      <c r="E198" s="66"/>
      <c r="F198" s="66"/>
      <c r="G198" s="66"/>
      <c r="H198" s="66"/>
      <c r="I198" s="66"/>
      <c r="J198" s="66"/>
      <c r="K198" s="82"/>
      <c r="L198" s="82"/>
      <c r="M198" s="82"/>
      <c r="N198" s="82"/>
      <c r="O198" s="82"/>
      <c r="P198" s="82"/>
      <c r="Q198" s="82"/>
      <c r="R198" s="82"/>
      <c r="S198" s="82"/>
      <c r="T198" s="82"/>
      <c r="U198" s="82"/>
      <c r="V198" s="82"/>
      <c r="W198" s="82"/>
      <c r="X198" s="82"/>
    </row>
    <row r="199" spans="2:24" x14ac:dyDescent="0.25">
      <c r="B199" s="65"/>
      <c r="C199" s="66"/>
      <c r="D199" s="66"/>
      <c r="E199" s="66"/>
      <c r="F199" s="66"/>
      <c r="G199" s="66"/>
      <c r="H199" s="66"/>
      <c r="I199" s="66"/>
      <c r="J199" s="66"/>
      <c r="K199" s="82"/>
      <c r="L199" s="82"/>
      <c r="M199" s="82"/>
      <c r="N199" s="82"/>
      <c r="O199" s="82"/>
      <c r="P199" s="82"/>
      <c r="Q199" s="82"/>
      <c r="R199" s="82"/>
      <c r="S199" s="82"/>
      <c r="T199" s="82"/>
      <c r="U199" s="82"/>
      <c r="V199" s="82"/>
      <c r="W199" s="82"/>
      <c r="X199" s="82"/>
    </row>
    <row r="200" spans="2:24" x14ac:dyDescent="0.25">
      <c r="B200" s="65"/>
      <c r="C200" s="66"/>
      <c r="D200" s="66"/>
      <c r="E200" s="66"/>
      <c r="F200" s="66"/>
      <c r="G200" s="66"/>
      <c r="H200" s="66"/>
      <c r="I200" s="66"/>
      <c r="J200" s="66"/>
      <c r="K200" s="82"/>
      <c r="L200" s="82"/>
      <c r="M200" s="82"/>
      <c r="N200" s="82"/>
      <c r="O200" s="82"/>
      <c r="P200" s="82"/>
      <c r="Q200" s="82"/>
      <c r="R200" s="82"/>
      <c r="S200" s="82"/>
      <c r="T200" s="82"/>
      <c r="U200" s="82"/>
      <c r="V200" s="82"/>
      <c r="W200" s="82"/>
      <c r="X200" s="82"/>
    </row>
    <row r="201" spans="2:24" x14ac:dyDescent="0.25">
      <c r="B201" s="65"/>
      <c r="C201" s="66"/>
      <c r="D201" s="66"/>
      <c r="E201" s="66"/>
      <c r="F201" s="66"/>
      <c r="G201" s="66"/>
      <c r="H201" s="66"/>
      <c r="I201" s="66"/>
      <c r="J201" s="66"/>
      <c r="K201" s="82"/>
      <c r="L201" s="82"/>
      <c r="M201" s="82"/>
      <c r="N201" s="82"/>
      <c r="O201" s="82"/>
      <c r="P201" s="82"/>
      <c r="Q201" s="82"/>
      <c r="R201" s="82"/>
      <c r="S201" s="82"/>
      <c r="T201" s="82"/>
      <c r="U201" s="82"/>
      <c r="V201" s="82"/>
      <c r="W201" s="82"/>
      <c r="X201" s="82"/>
    </row>
    <row r="202" spans="2:24" x14ac:dyDescent="0.25">
      <c r="B202" s="65"/>
      <c r="C202" s="66"/>
      <c r="D202" s="66"/>
      <c r="E202" s="66"/>
      <c r="F202" s="66"/>
      <c r="G202" s="66"/>
      <c r="H202" s="66"/>
      <c r="I202" s="66"/>
      <c r="J202" s="66"/>
      <c r="K202" s="82"/>
      <c r="L202" s="82"/>
      <c r="M202" s="82"/>
      <c r="N202" s="82"/>
      <c r="O202" s="82"/>
      <c r="P202" s="82"/>
      <c r="Q202" s="82"/>
      <c r="R202" s="82"/>
      <c r="S202" s="82"/>
      <c r="T202" s="82"/>
      <c r="U202" s="82"/>
      <c r="V202" s="82"/>
      <c r="W202" s="82"/>
      <c r="X202" s="82"/>
    </row>
    <row r="203" spans="2:24" x14ac:dyDescent="0.25">
      <c r="B203" s="65"/>
      <c r="C203" s="66"/>
      <c r="D203" s="66"/>
      <c r="E203" s="66"/>
      <c r="F203" s="66"/>
      <c r="G203" s="66"/>
      <c r="H203" s="66"/>
      <c r="I203" s="66"/>
      <c r="J203" s="66"/>
      <c r="K203" s="82"/>
      <c r="L203" s="82"/>
      <c r="M203" s="82"/>
      <c r="N203" s="82"/>
      <c r="O203" s="82"/>
      <c r="P203" s="82"/>
      <c r="Q203" s="82"/>
      <c r="R203" s="82"/>
      <c r="S203" s="82"/>
      <c r="T203" s="82"/>
      <c r="U203" s="82"/>
      <c r="V203" s="82"/>
      <c r="W203" s="82"/>
      <c r="X203" s="82"/>
    </row>
    <row r="204" spans="2:24" x14ac:dyDescent="0.25">
      <c r="B204" s="65"/>
      <c r="C204" s="66"/>
      <c r="D204" s="66"/>
      <c r="E204" s="66"/>
      <c r="F204" s="66"/>
      <c r="G204" s="66"/>
      <c r="H204" s="66"/>
      <c r="I204" s="66"/>
      <c r="J204" s="66"/>
      <c r="K204" s="82"/>
      <c r="L204" s="82"/>
      <c r="M204" s="82"/>
      <c r="N204" s="82"/>
      <c r="O204" s="82"/>
      <c r="P204" s="82"/>
      <c r="Q204" s="82"/>
      <c r="R204" s="82"/>
      <c r="S204" s="82"/>
      <c r="T204" s="82"/>
      <c r="U204" s="82"/>
      <c r="V204" s="82"/>
      <c r="W204" s="82"/>
      <c r="X204" s="82"/>
    </row>
    <row r="205" spans="2:24" x14ac:dyDescent="0.25">
      <c r="B205" s="65"/>
      <c r="C205" s="66"/>
      <c r="D205" s="66"/>
      <c r="E205" s="66"/>
      <c r="F205" s="66"/>
      <c r="G205" s="66"/>
      <c r="H205" s="66"/>
      <c r="I205" s="66"/>
      <c r="J205" s="66"/>
      <c r="K205" s="82"/>
      <c r="L205" s="82"/>
      <c r="M205" s="82"/>
      <c r="N205" s="82"/>
      <c r="O205" s="82"/>
      <c r="P205" s="82"/>
      <c r="Q205" s="82"/>
      <c r="R205" s="82"/>
      <c r="S205" s="82"/>
      <c r="T205" s="82"/>
      <c r="U205" s="82"/>
      <c r="V205" s="82"/>
      <c r="W205" s="82"/>
      <c r="X205" s="82"/>
    </row>
    <row r="206" spans="2:24" x14ac:dyDescent="0.25">
      <c r="B206" s="65"/>
      <c r="C206" s="66"/>
      <c r="D206" s="66"/>
      <c r="E206" s="66"/>
      <c r="F206" s="66"/>
      <c r="G206" s="66"/>
      <c r="H206" s="66"/>
      <c r="I206" s="66"/>
      <c r="J206" s="66"/>
      <c r="K206" s="82"/>
      <c r="L206" s="82"/>
      <c r="M206" s="82"/>
      <c r="N206" s="82"/>
      <c r="O206" s="82"/>
      <c r="P206" s="82"/>
      <c r="Q206" s="82"/>
      <c r="R206" s="82"/>
      <c r="S206" s="82"/>
      <c r="T206" s="82"/>
      <c r="U206" s="82"/>
      <c r="V206" s="82"/>
      <c r="W206" s="82"/>
      <c r="X206" s="82"/>
    </row>
    <row r="207" spans="2:24" x14ac:dyDescent="0.25">
      <c r="B207" s="65"/>
      <c r="C207" s="66"/>
      <c r="D207" s="66"/>
      <c r="E207" s="66"/>
      <c r="F207" s="66"/>
      <c r="G207" s="66"/>
      <c r="H207" s="66"/>
      <c r="I207" s="66"/>
      <c r="J207" s="66"/>
      <c r="K207" s="82"/>
      <c r="L207" s="82"/>
      <c r="M207" s="82"/>
      <c r="N207" s="82"/>
      <c r="O207" s="82"/>
      <c r="P207" s="82"/>
      <c r="Q207" s="82"/>
      <c r="R207" s="82"/>
      <c r="S207" s="82"/>
      <c r="T207" s="82"/>
      <c r="U207" s="82"/>
      <c r="V207" s="82"/>
      <c r="W207" s="82"/>
      <c r="X207" s="82"/>
    </row>
    <row r="208" spans="2:24" x14ac:dyDescent="0.25">
      <c r="B208" s="65"/>
      <c r="C208" s="66"/>
      <c r="D208" s="66"/>
      <c r="E208" s="66"/>
      <c r="F208" s="66"/>
      <c r="G208" s="66"/>
      <c r="H208" s="66"/>
      <c r="I208" s="66"/>
      <c r="J208" s="66"/>
      <c r="K208" s="82"/>
      <c r="L208" s="82"/>
      <c r="M208" s="82"/>
      <c r="N208" s="82"/>
      <c r="O208" s="82"/>
      <c r="P208" s="82"/>
      <c r="Q208" s="82"/>
      <c r="R208" s="82"/>
      <c r="S208" s="82"/>
      <c r="T208" s="82"/>
      <c r="U208" s="82"/>
      <c r="V208" s="82"/>
      <c r="W208" s="82"/>
      <c r="X208" s="82"/>
    </row>
    <row r="209" spans="2:24" x14ac:dyDescent="0.25">
      <c r="B209" s="65"/>
      <c r="C209" s="66"/>
      <c r="D209" s="66"/>
      <c r="E209" s="66"/>
      <c r="F209" s="66"/>
      <c r="G209" s="66"/>
      <c r="H209" s="66"/>
      <c r="I209" s="66"/>
      <c r="J209" s="66"/>
      <c r="K209" s="82"/>
      <c r="L209" s="82"/>
      <c r="M209" s="82"/>
      <c r="N209" s="82"/>
      <c r="O209" s="82"/>
      <c r="P209" s="82"/>
      <c r="Q209" s="82"/>
      <c r="R209" s="82"/>
      <c r="S209" s="82"/>
      <c r="T209" s="82"/>
      <c r="U209" s="82"/>
      <c r="V209" s="82"/>
      <c r="W209" s="82"/>
      <c r="X209" s="82"/>
    </row>
    <row r="210" spans="2:24" x14ac:dyDescent="0.25">
      <c r="B210" s="65"/>
      <c r="C210" s="66"/>
      <c r="D210" s="66"/>
      <c r="E210" s="66"/>
      <c r="F210" s="66"/>
      <c r="G210" s="66"/>
      <c r="H210" s="66"/>
      <c r="I210" s="66"/>
      <c r="J210" s="66"/>
      <c r="K210" s="82"/>
      <c r="L210" s="82"/>
      <c r="M210" s="82"/>
      <c r="N210" s="82"/>
      <c r="O210" s="82"/>
      <c r="P210" s="82"/>
      <c r="Q210" s="82"/>
      <c r="R210" s="82"/>
      <c r="S210" s="82"/>
      <c r="T210" s="82"/>
      <c r="U210" s="82"/>
      <c r="V210" s="82"/>
      <c r="W210" s="82"/>
      <c r="X210" s="82"/>
    </row>
    <row r="211" spans="2:24" x14ac:dyDescent="0.25">
      <c r="B211" s="65"/>
      <c r="C211" s="66"/>
      <c r="D211" s="66"/>
      <c r="E211" s="66"/>
      <c r="F211" s="66"/>
      <c r="G211" s="66"/>
      <c r="H211" s="66"/>
      <c r="I211" s="66"/>
      <c r="J211" s="66"/>
      <c r="K211" s="82"/>
      <c r="L211" s="82"/>
      <c r="M211" s="82"/>
      <c r="N211" s="82"/>
      <c r="O211" s="82"/>
      <c r="P211" s="82"/>
      <c r="Q211" s="82"/>
      <c r="R211" s="82"/>
      <c r="S211" s="82"/>
      <c r="T211" s="82"/>
      <c r="U211" s="82"/>
      <c r="V211" s="82"/>
      <c r="W211" s="82"/>
      <c r="X211" s="82"/>
    </row>
    <row r="212" spans="2:24" x14ac:dyDescent="0.25">
      <c r="B212" s="65"/>
      <c r="C212" s="66"/>
      <c r="D212" s="66"/>
      <c r="E212" s="66"/>
      <c r="F212" s="66"/>
      <c r="G212" s="66"/>
      <c r="H212" s="66"/>
      <c r="I212" s="66"/>
      <c r="J212" s="66"/>
      <c r="K212" s="82"/>
      <c r="L212" s="82"/>
      <c r="M212" s="82"/>
      <c r="N212" s="82"/>
      <c r="O212" s="82"/>
      <c r="P212" s="82"/>
      <c r="Q212" s="82"/>
      <c r="R212" s="82"/>
      <c r="S212" s="82"/>
      <c r="T212" s="82"/>
      <c r="U212" s="82"/>
      <c r="V212" s="82"/>
      <c r="W212" s="82"/>
      <c r="X212" s="82"/>
    </row>
    <row r="213" spans="2:24" x14ac:dyDescent="0.25">
      <c r="B213" s="65"/>
      <c r="C213" s="66"/>
      <c r="D213" s="66"/>
      <c r="E213" s="66"/>
      <c r="F213" s="66"/>
      <c r="G213" s="66"/>
      <c r="H213" s="66"/>
      <c r="I213" s="66"/>
      <c r="J213" s="66"/>
      <c r="K213" s="82"/>
      <c r="L213" s="82"/>
      <c r="M213" s="82"/>
      <c r="N213" s="82"/>
      <c r="O213" s="82"/>
      <c r="P213" s="82"/>
      <c r="Q213" s="82"/>
      <c r="R213" s="82"/>
      <c r="S213" s="82"/>
      <c r="T213" s="82"/>
      <c r="U213" s="82"/>
      <c r="V213" s="82"/>
      <c r="W213" s="82"/>
      <c r="X213" s="82"/>
    </row>
    <row r="214" spans="2:24" x14ac:dyDescent="0.25">
      <c r="B214" s="65"/>
      <c r="C214" s="66"/>
      <c r="D214" s="66"/>
      <c r="E214" s="66"/>
      <c r="F214" s="66"/>
      <c r="G214" s="66"/>
      <c r="H214" s="66"/>
      <c r="I214" s="66"/>
      <c r="J214" s="66"/>
      <c r="K214" s="82"/>
      <c r="L214" s="82"/>
      <c r="M214" s="82"/>
      <c r="N214" s="82"/>
      <c r="O214" s="82"/>
      <c r="P214" s="82"/>
      <c r="Q214" s="82"/>
      <c r="R214" s="82"/>
      <c r="S214" s="82"/>
      <c r="T214" s="82"/>
      <c r="U214" s="82"/>
      <c r="V214" s="82"/>
      <c r="W214" s="82"/>
      <c r="X214" s="82"/>
    </row>
    <row r="215" spans="2:24" x14ac:dyDescent="0.25">
      <c r="B215" s="65"/>
      <c r="C215" s="66"/>
      <c r="D215" s="66"/>
      <c r="E215" s="66"/>
      <c r="F215" s="66"/>
      <c r="G215" s="66"/>
      <c r="H215" s="66"/>
      <c r="I215" s="66"/>
      <c r="J215" s="66"/>
      <c r="K215" s="82"/>
      <c r="L215" s="82"/>
      <c r="M215" s="82"/>
      <c r="N215" s="82"/>
      <c r="O215" s="82"/>
      <c r="P215" s="82"/>
      <c r="Q215" s="82"/>
      <c r="R215" s="82"/>
      <c r="S215" s="82"/>
      <c r="T215" s="82"/>
      <c r="U215" s="82"/>
      <c r="V215" s="82"/>
      <c r="W215" s="82"/>
      <c r="X215" s="82"/>
    </row>
    <row r="216" spans="2:24" x14ac:dyDescent="0.25">
      <c r="B216" s="65"/>
      <c r="C216" s="66"/>
      <c r="D216" s="66"/>
      <c r="E216" s="66"/>
      <c r="F216" s="66"/>
      <c r="G216" s="66"/>
      <c r="H216" s="66"/>
      <c r="I216" s="66"/>
      <c r="J216" s="66"/>
      <c r="K216" s="82"/>
      <c r="L216" s="82"/>
      <c r="M216" s="82"/>
      <c r="N216" s="82"/>
      <c r="O216" s="82"/>
      <c r="P216" s="82"/>
      <c r="Q216" s="82"/>
      <c r="R216" s="82"/>
      <c r="S216" s="82"/>
      <c r="T216" s="82"/>
      <c r="U216" s="82"/>
      <c r="V216" s="82"/>
      <c r="W216" s="82"/>
      <c r="X216" s="82"/>
    </row>
    <row r="217" spans="2:24" x14ac:dyDescent="0.25">
      <c r="B217" s="65"/>
      <c r="C217" s="66"/>
      <c r="D217" s="66"/>
      <c r="E217" s="66"/>
      <c r="F217" s="66"/>
      <c r="G217" s="66"/>
      <c r="H217" s="66"/>
      <c r="I217" s="66"/>
      <c r="J217" s="66"/>
      <c r="K217" s="82"/>
      <c r="L217" s="82"/>
      <c r="M217" s="82"/>
      <c r="N217" s="82"/>
      <c r="O217" s="82"/>
      <c r="P217" s="82"/>
      <c r="Q217" s="82"/>
      <c r="R217" s="82"/>
      <c r="S217" s="82"/>
      <c r="T217" s="82"/>
      <c r="U217" s="82"/>
      <c r="V217" s="82"/>
      <c r="W217" s="82"/>
      <c r="X217" s="82"/>
    </row>
    <row r="218" spans="2:24" x14ac:dyDescent="0.25">
      <c r="B218" s="65"/>
      <c r="C218" s="66"/>
      <c r="D218" s="66"/>
      <c r="E218" s="66"/>
      <c r="F218" s="66"/>
      <c r="G218" s="66"/>
      <c r="H218" s="66"/>
      <c r="I218" s="66"/>
      <c r="J218" s="66"/>
      <c r="K218" s="82"/>
      <c r="L218" s="82"/>
      <c r="M218" s="82"/>
      <c r="N218" s="82"/>
      <c r="O218" s="82"/>
      <c r="P218" s="82"/>
      <c r="Q218" s="82"/>
      <c r="R218" s="82"/>
      <c r="S218" s="82"/>
      <c r="T218" s="82"/>
      <c r="U218" s="82"/>
      <c r="V218" s="82"/>
      <c r="W218" s="82"/>
      <c r="X218" s="82"/>
    </row>
    <row r="219" spans="2:24" x14ac:dyDescent="0.25">
      <c r="B219" s="65"/>
      <c r="C219" s="66"/>
      <c r="D219" s="66"/>
      <c r="E219" s="66"/>
      <c r="F219" s="66"/>
      <c r="G219" s="66"/>
      <c r="H219" s="66"/>
      <c r="I219" s="66"/>
      <c r="J219" s="66"/>
      <c r="K219" s="82"/>
      <c r="L219" s="82"/>
      <c r="M219" s="82"/>
      <c r="N219" s="82"/>
      <c r="O219" s="82"/>
      <c r="P219" s="82"/>
      <c r="Q219" s="82"/>
      <c r="R219" s="82"/>
      <c r="S219" s="82"/>
      <c r="T219" s="82"/>
      <c r="U219" s="82"/>
      <c r="V219" s="82"/>
      <c r="W219" s="82"/>
      <c r="X219" s="82"/>
    </row>
    <row r="220" spans="2:24" x14ac:dyDescent="0.25">
      <c r="B220" s="65"/>
      <c r="C220" s="66"/>
      <c r="D220" s="66"/>
      <c r="E220" s="66"/>
      <c r="F220" s="66"/>
      <c r="G220" s="66"/>
      <c r="H220" s="66"/>
      <c r="I220" s="66"/>
      <c r="J220" s="66"/>
      <c r="K220" s="82"/>
      <c r="L220" s="82"/>
      <c r="M220" s="82"/>
      <c r="N220" s="82"/>
      <c r="O220" s="82"/>
      <c r="P220" s="82"/>
      <c r="Q220" s="82"/>
      <c r="R220" s="82"/>
      <c r="S220" s="82"/>
      <c r="T220" s="82"/>
      <c r="U220" s="82"/>
      <c r="V220" s="82"/>
      <c r="W220" s="82"/>
      <c r="X220" s="82"/>
    </row>
    <row r="221" spans="2:24" x14ac:dyDescent="0.25">
      <c r="B221" s="65"/>
      <c r="C221" s="66"/>
      <c r="D221" s="66"/>
      <c r="E221" s="66"/>
      <c r="F221" s="66"/>
      <c r="G221" s="66"/>
      <c r="H221" s="66"/>
      <c r="I221" s="66"/>
      <c r="J221" s="66"/>
      <c r="K221" s="82"/>
      <c r="L221" s="82"/>
      <c r="M221" s="82"/>
      <c r="N221" s="82"/>
      <c r="O221" s="82"/>
      <c r="P221" s="82"/>
      <c r="Q221" s="82"/>
      <c r="R221" s="82"/>
      <c r="S221" s="82"/>
      <c r="T221" s="82"/>
      <c r="U221" s="82"/>
      <c r="V221" s="82"/>
      <c r="W221" s="82"/>
      <c r="X221" s="82"/>
    </row>
    <row r="222" spans="2:24" x14ac:dyDescent="0.25">
      <c r="B222" s="65"/>
      <c r="C222" s="66"/>
      <c r="D222" s="66"/>
      <c r="E222" s="66"/>
      <c r="F222" s="66"/>
      <c r="G222" s="66"/>
      <c r="H222" s="66"/>
      <c r="I222" s="66"/>
      <c r="J222" s="66"/>
      <c r="K222" s="82"/>
      <c r="L222" s="82"/>
      <c r="M222" s="82"/>
      <c r="N222" s="82"/>
      <c r="O222" s="82"/>
      <c r="P222" s="82"/>
      <c r="Q222" s="82"/>
      <c r="R222" s="82"/>
      <c r="S222" s="82"/>
      <c r="T222" s="82"/>
      <c r="U222" s="82"/>
      <c r="V222" s="82"/>
      <c r="W222" s="82"/>
      <c r="X222" s="82"/>
    </row>
    <row r="223" spans="2:24" x14ac:dyDescent="0.25">
      <c r="B223" s="65"/>
      <c r="C223" s="66"/>
      <c r="D223" s="66"/>
      <c r="E223" s="66"/>
      <c r="F223" s="66"/>
      <c r="G223" s="66"/>
      <c r="H223" s="66"/>
      <c r="I223" s="66"/>
      <c r="J223" s="66"/>
      <c r="K223" s="82"/>
      <c r="L223" s="82"/>
      <c r="M223" s="82"/>
      <c r="N223" s="82"/>
      <c r="O223" s="82"/>
      <c r="P223" s="82"/>
      <c r="Q223" s="82"/>
      <c r="R223" s="82"/>
      <c r="S223" s="82"/>
      <c r="T223" s="82"/>
      <c r="U223" s="82"/>
      <c r="V223" s="82"/>
      <c r="W223" s="82"/>
      <c r="X223" s="82"/>
    </row>
    <row r="224" spans="2:24" x14ac:dyDescent="0.25">
      <c r="B224" s="65"/>
      <c r="C224" s="66"/>
      <c r="D224" s="66"/>
      <c r="E224" s="66"/>
      <c r="F224" s="66"/>
      <c r="G224" s="66"/>
      <c r="H224" s="66"/>
      <c r="I224" s="66"/>
      <c r="J224" s="66"/>
      <c r="K224" s="82"/>
      <c r="L224" s="82"/>
      <c r="M224" s="82"/>
      <c r="N224" s="82"/>
      <c r="O224" s="82"/>
      <c r="P224" s="82"/>
      <c r="Q224" s="82"/>
      <c r="R224" s="82"/>
      <c r="S224" s="82"/>
      <c r="T224" s="82"/>
      <c r="U224" s="82"/>
      <c r="V224" s="82"/>
      <c r="W224" s="82"/>
      <c r="X224" s="82"/>
    </row>
    <row r="225" spans="2:24" x14ac:dyDescent="0.25">
      <c r="B225" s="65"/>
      <c r="C225" s="66"/>
      <c r="D225" s="66"/>
      <c r="E225" s="66"/>
      <c r="F225" s="66"/>
      <c r="G225" s="66"/>
      <c r="H225" s="66"/>
      <c r="I225" s="66"/>
      <c r="J225" s="66"/>
      <c r="K225" s="82"/>
      <c r="L225" s="82"/>
      <c r="M225" s="82"/>
      <c r="N225" s="82"/>
      <c r="O225" s="82"/>
      <c r="P225" s="82"/>
      <c r="Q225" s="82"/>
      <c r="R225" s="82"/>
      <c r="S225" s="82"/>
      <c r="T225" s="82"/>
      <c r="U225" s="82"/>
      <c r="V225" s="82"/>
      <c r="W225" s="82"/>
      <c r="X225" s="82"/>
    </row>
    <row r="226" spans="2:24" x14ac:dyDescent="0.25">
      <c r="B226" s="65"/>
      <c r="C226" s="66"/>
      <c r="D226" s="66"/>
      <c r="E226" s="66"/>
      <c r="F226" s="66"/>
      <c r="G226" s="66"/>
      <c r="H226" s="66"/>
      <c r="I226" s="66"/>
      <c r="J226" s="66"/>
      <c r="K226" s="82"/>
      <c r="L226" s="82"/>
      <c r="M226" s="82"/>
      <c r="N226" s="82"/>
      <c r="O226" s="82"/>
      <c r="P226" s="82"/>
      <c r="Q226" s="82"/>
      <c r="R226" s="82"/>
      <c r="S226" s="82"/>
      <c r="T226" s="82"/>
      <c r="U226" s="82"/>
      <c r="V226" s="82"/>
      <c r="W226" s="82"/>
      <c r="X226" s="82"/>
    </row>
    <row r="227" spans="2:24" x14ac:dyDescent="0.25">
      <c r="B227" s="65"/>
      <c r="C227" s="66"/>
      <c r="D227" s="66"/>
      <c r="E227" s="66"/>
      <c r="F227" s="66"/>
      <c r="G227" s="66"/>
      <c r="H227" s="66"/>
      <c r="I227" s="66"/>
      <c r="J227" s="66"/>
      <c r="K227" s="82"/>
      <c r="L227" s="82"/>
      <c r="M227" s="82"/>
      <c r="N227" s="82"/>
      <c r="O227" s="82"/>
      <c r="P227" s="82"/>
      <c r="Q227" s="82"/>
      <c r="R227" s="82"/>
      <c r="S227" s="82"/>
      <c r="T227" s="82"/>
      <c r="U227" s="82"/>
      <c r="V227" s="82"/>
      <c r="W227" s="82"/>
      <c r="X227" s="82"/>
    </row>
    <row r="228" spans="2:24" x14ac:dyDescent="0.25">
      <c r="B228" s="65"/>
      <c r="C228" s="66"/>
      <c r="D228" s="66"/>
      <c r="E228" s="66"/>
      <c r="F228" s="66"/>
      <c r="G228" s="66"/>
      <c r="H228" s="66"/>
      <c r="I228" s="66"/>
      <c r="J228" s="66"/>
      <c r="K228" s="82"/>
      <c r="L228" s="82"/>
      <c r="M228" s="82"/>
      <c r="N228" s="82"/>
      <c r="O228" s="82"/>
      <c r="P228" s="82"/>
      <c r="Q228" s="82"/>
      <c r="R228" s="82"/>
      <c r="S228" s="82"/>
      <c r="T228" s="82"/>
      <c r="U228" s="82"/>
      <c r="V228" s="82"/>
      <c r="W228" s="82"/>
      <c r="X228" s="82"/>
    </row>
    <row r="229" spans="2:24" x14ac:dyDescent="0.25">
      <c r="B229" s="65"/>
      <c r="C229" s="66"/>
      <c r="D229" s="66"/>
      <c r="E229" s="66"/>
      <c r="F229" s="66"/>
      <c r="G229" s="66"/>
      <c r="H229" s="66"/>
      <c r="I229" s="66"/>
      <c r="J229" s="66"/>
      <c r="K229" s="82"/>
      <c r="L229" s="82"/>
      <c r="M229" s="82"/>
      <c r="N229" s="82"/>
      <c r="O229" s="82"/>
      <c r="P229" s="82"/>
      <c r="Q229" s="82"/>
      <c r="R229" s="82"/>
      <c r="S229" s="82"/>
      <c r="T229" s="82"/>
      <c r="U229" s="82"/>
      <c r="V229" s="82"/>
      <c r="W229" s="82"/>
      <c r="X229" s="82"/>
    </row>
    <row r="230" spans="2:24" x14ac:dyDescent="0.25">
      <c r="B230" s="65"/>
      <c r="C230" s="66"/>
      <c r="D230" s="66"/>
      <c r="E230" s="66"/>
      <c r="F230" s="66"/>
      <c r="G230" s="66"/>
      <c r="H230" s="66"/>
      <c r="I230" s="66"/>
      <c r="J230" s="66"/>
      <c r="K230" s="82"/>
      <c r="L230" s="82"/>
      <c r="M230" s="82"/>
      <c r="N230" s="82"/>
      <c r="O230" s="82"/>
      <c r="P230" s="82"/>
      <c r="Q230" s="82"/>
      <c r="R230" s="82"/>
      <c r="S230" s="82"/>
      <c r="T230" s="82"/>
      <c r="U230" s="82"/>
      <c r="V230" s="82"/>
      <c r="W230" s="82"/>
      <c r="X230" s="82"/>
    </row>
    <row r="231" spans="2:24" x14ac:dyDescent="0.25">
      <c r="B231" s="65"/>
      <c r="C231" s="66"/>
      <c r="D231" s="66"/>
      <c r="E231" s="66"/>
      <c r="F231" s="66"/>
      <c r="G231" s="66"/>
      <c r="H231" s="66"/>
      <c r="I231" s="66"/>
      <c r="J231" s="66"/>
      <c r="K231" s="82"/>
      <c r="L231" s="82"/>
      <c r="M231" s="82"/>
      <c r="N231" s="82"/>
      <c r="O231" s="82"/>
      <c r="P231" s="82"/>
      <c r="Q231" s="82"/>
      <c r="R231" s="82"/>
      <c r="S231" s="82"/>
      <c r="T231" s="82"/>
      <c r="U231" s="82"/>
      <c r="V231" s="82"/>
      <c r="W231" s="82"/>
      <c r="X231" s="82"/>
    </row>
    <row r="232" spans="2:24" x14ac:dyDescent="0.25">
      <c r="B232" s="65"/>
      <c r="C232" s="66"/>
      <c r="D232" s="66"/>
      <c r="E232" s="66"/>
      <c r="F232" s="66"/>
      <c r="G232" s="66"/>
      <c r="H232" s="66"/>
      <c r="I232" s="66"/>
      <c r="J232" s="66"/>
      <c r="K232" s="82"/>
      <c r="L232" s="82"/>
      <c r="M232" s="82"/>
      <c r="N232" s="82"/>
      <c r="O232" s="82"/>
      <c r="P232" s="82"/>
      <c r="Q232" s="82"/>
      <c r="R232" s="82"/>
      <c r="S232" s="82"/>
      <c r="T232" s="82"/>
      <c r="U232" s="82"/>
      <c r="V232" s="82"/>
      <c r="W232" s="82"/>
      <c r="X232" s="82"/>
    </row>
    <row r="233" spans="2:24" x14ac:dyDescent="0.25">
      <c r="B233" s="65"/>
      <c r="C233" s="66"/>
      <c r="D233" s="66"/>
      <c r="E233" s="66"/>
      <c r="F233" s="66"/>
      <c r="G233" s="66"/>
      <c r="H233" s="66"/>
      <c r="I233" s="66"/>
      <c r="J233" s="66"/>
      <c r="K233" s="82"/>
      <c r="L233" s="82"/>
      <c r="M233" s="82"/>
      <c r="N233" s="82"/>
      <c r="O233" s="82"/>
      <c r="P233" s="82"/>
      <c r="Q233" s="82"/>
      <c r="R233" s="82"/>
      <c r="S233" s="82"/>
      <c r="T233" s="82"/>
      <c r="U233" s="82"/>
      <c r="V233" s="82"/>
      <c r="W233" s="82"/>
      <c r="X233" s="82"/>
    </row>
    <row r="234" spans="2:24" x14ac:dyDescent="0.25">
      <c r="B234" s="65"/>
      <c r="C234" s="66"/>
      <c r="D234" s="66"/>
      <c r="E234" s="66"/>
      <c r="F234" s="66"/>
      <c r="G234" s="66"/>
      <c r="H234" s="66"/>
      <c r="I234" s="66"/>
      <c r="J234" s="66"/>
      <c r="K234" s="82"/>
      <c r="L234" s="82"/>
      <c r="M234" s="82"/>
      <c r="N234" s="82"/>
      <c r="O234" s="82"/>
      <c r="P234" s="82"/>
      <c r="Q234" s="82"/>
      <c r="R234" s="82"/>
      <c r="S234" s="82"/>
      <c r="T234" s="82"/>
      <c r="U234" s="82"/>
      <c r="V234" s="82"/>
      <c r="W234" s="82"/>
      <c r="X234" s="82"/>
    </row>
    <row r="235" spans="2:24" x14ac:dyDescent="0.25">
      <c r="B235" s="65"/>
      <c r="C235" s="66"/>
      <c r="D235" s="66"/>
      <c r="E235" s="66"/>
      <c r="F235" s="66"/>
      <c r="G235" s="66"/>
      <c r="H235" s="66"/>
      <c r="I235" s="66"/>
      <c r="J235" s="66"/>
      <c r="K235" s="82"/>
      <c r="L235" s="82"/>
      <c r="M235" s="82"/>
      <c r="N235" s="82"/>
      <c r="O235" s="82"/>
      <c r="P235" s="82"/>
      <c r="Q235" s="82"/>
      <c r="R235" s="82"/>
      <c r="S235" s="82"/>
      <c r="T235" s="82"/>
      <c r="U235" s="82"/>
      <c r="V235" s="82"/>
      <c r="W235" s="82"/>
      <c r="X235" s="82"/>
    </row>
    <row r="236" spans="2:24" x14ac:dyDescent="0.25">
      <c r="B236" s="65"/>
      <c r="C236" s="66"/>
      <c r="D236" s="66"/>
      <c r="E236" s="66"/>
      <c r="F236" s="66"/>
      <c r="G236" s="66"/>
      <c r="H236" s="66"/>
      <c r="I236" s="66"/>
      <c r="J236" s="66"/>
      <c r="K236" s="82"/>
      <c r="L236" s="82"/>
      <c r="M236" s="82"/>
      <c r="N236" s="82"/>
      <c r="O236" s="82"/>
      <c r="P236" s="82"/>
      <c r="Q236" s="82"/>
      <c r="R236" s="82"/>
      <c r="S236" s="82"/>
      <c r="T236" s="82"/>
      <c r="U236" s="82"/>
      <c r="V236" s="82"/>
      <c r="W236" s="82"/>
      <c r="X236" s="82"/>
    </row>
    <row r="237" spans="2:24" x14ac:dyDescent="0.25">
      <c r="B237" s="65"/>
      <c r="C237" s="66"/>
      <c r="D237" s="66"/>
      <c r="E237" s="66"/>
      <c r="F237" s="66"/>
      <c r="G237" s="66"/>
      <c r="H237" s="66"/>
      <c r="I237" s="66"/>
      <c r="J237" s="66"/>
      <c r="K237" s="82"/>
      <c r="L237" s="82"/>
      <c r="M237" s="82"/>
      <c r="N237" s="82"/>
      <c r="O237" s="82"/>
      <c r="P237" s="82"/>
      <c r="Q237" s="82"/>
      <c r="R237" s="82"/>
      <c r="S237" s="82"/>
      <c r="T237" s="82"/>
      <c r="U237" s="82"/>
      <c r="V237" s="82"/>
      <c r="W237" s="82"/>
      <c r="X237" s="82"/>
    </row>
    <row r="238" spans="2:24" x14ac:dyDescent="0.25">
      <c r="B238" s="65"/>
      <c r="C238" s="66"/>
      <c r="D238" s="66"/>
      <c r="E238" s="66"/>
      <c r="F238" s="66"/>
      <c r="G238" s="66"/>
      <c r="H238" s="66"/>
      <c r="I238" s="66"/>
      <c r="J238" s="66"/>
      <c r="K238" s="82"/>
      <c r="L238" s="82"/>
      <c r="M238" s="82"/>
      <c r="N238" s="82"/>
      <c r="O238" s="82"/>
      <c r="P238" s="82"/>
      <c r="Q238" s="82"/>
      <c r="R238" s="82"/>
      <c r="S238" s="82"/>
      <c r="T238" s="82"/>
      <c r="U238" s="82"/>
      <c r="V238" s="82"/>
      <c r="W238" s="82"/>
      <c r="X238" s="82"/>
    </row>
    <row r="239" spans="2:24" x14ac:dyDescent="0.25">
      <c r="B239" s="65"/>
      <c r="C239" s="66"/>
      <c r="D239" s="66"/>
      <c r="E239" s="66"/>
      <c r="F239" s="66"/>
      <c r="G239" s="66"/>
      <c r="H239" s="66"/>
      <c r="I239" s="66"/>
      <c r="J239" s="66"/>
      <c r="K239" s="82"/>
      <c r="L239" s="82"/>
      <c r="M239" s="82"/>
      <c r="N239" s="82"/>
      <c r="O239" s="82"/>
      <c r="P239" s="82"/>
      <c r="Q239" s="82"/>
      <c r="R239" s="82"/>
      <c r="S239" s="82"/>
      <c r="T239" s="82"/>
      <c r="U239" s="82"/>
      <c r="V239" s="82"/>
      <c r="W239" s="82"/>
      <c r="X239" s="82"/>
    </row>
    <row r="240" spans="2:24" x14ac:dyDescent="0.25">
      <c r="B240" s="65"/>
      <c r="C240" s="66"/>
      <c r="D240" s="66"/>
      <c r="E240" s="66"/>
      <c r="F240" s="66"/>
      <c r="G240" s="66"/>
      <c r="H240" s="66"/>
      <c r="I240" s="66"/>
      <c r="J240" s="66"/>
      <c r="K240" s="82"/>
      <c r="L240" s="82"/>
      <c r="M240" s="82"/>
      <c r="N240" s="82"/>
      <c r="O240" s="82"/>
      <c r="P240" s="82"/>
      <c r="Q240" s="82"/>
      <c r="R240" s="82"/>
      <c r="S240" s="82"/>
      <c r="T240" s="82"/>
      <c r="U240" s="82"/>
      <c r="V240" s="82"/>
      <c r="W240" s="82"/>
      <c r="X240" s="82"/>
    </row>
    <row r="241" spans="2:24" x14ac:dyDescent="0.25">
      <c r="B241" s="65"/>
      <c r="C241" s="66"/>
      <c r="D241" s="66"/>
      <c r="E241" s="66"/>
      <c r="F241" s="66"/>
      <c r="G241" s="66"/>
      <c r="H241" s="66"/>
      <c r="I241" s="66"/>
      <c r="J241" s="66"/>
      <c r="K241" s="82"/>
      <c r="L241" s="82"/>
      <c r="M241" s="82"/>
      <c r="N241" s="82"/>
      <c r="O241" s="82"/>
      <c r="P241" s="82"/>
      <c r="Q241" s="82"/>
      <c r="R241" s="82"/>
      <c r="S241" s="82"/>
      <c r="T241" s="82"/>
      <c r="U241" s="82"/>
      <c r="V241" s="82"/>
      <c r="W241" s="82"/>
      <c r="X241" s="82"/>
    </row>
    <row r="242" spans="2:24" x14ac:dyDescent="0.25">
      <c r="B242" s="65"/>
      <c r="C242" s="66"/>
      <c r="D242" s="66"/>
      <c r="E242" s="66"/>
      <c r="F242" s="66"/>
      <c r="G242" s="66"/>
      <c r="H242" s="66"/>
      <c r="I242" s="66"/>
      <c r="J242" s="66"/>
      <c r="K242" s="82"/>
      <c r="L242" s="82"/>
      <c r="M242" s="82"/>
      <c r="N242" s="82"/>
      <c r="O242" s="82"/>
      <c r="P242" s="82"/>
      <c r="Q242" s="82"/>
      <c r="R242" s="82"/>
      <c r="S242" s="82"/>
      <c r="T242" s="82"/>
      <c r="U242" s="82"/>
      <c r="V242" s="82"/>
      <c r="W242" s="82"/>
      <c r="X242" s="82"/>
    </row>
    <row r="243" spans="2:24" x14ac:dyDescent="0.25">
      <c r="B243" s="65"/>
      <c r="C243" s="66"/>
      <c r="D243" s="66"/>
      <c r="E243" s="66"/>
      <c r="F243" s="66"/>
      <c r="G243" s="66"/>
      <c r="H243" s="66"/>
      <c r="I243" s="66"/>
      <c r="J243" s="66"/>
      <c r="K243" s="82"/>
      <c r="L243" s="82"/>
      <c r="M243" s="82"/>
      <c r="N243" s="82"/>
      <c r="O243" s="82"/>
      <c r="P243" s="82"/>
      <c r="Q243" s="82"/>
      <c r="R243" s="82"/>
      <c r="S243" s="82"/>
      <c r="T243" s="82"/>
      <c r="U243" s="82"/>
      <c r="V243" s="82"/>
      <c r="W243" s="82"/>
      <c r="X243" s="82"/>
    </row>
    <row r="244" spans="2:24" x14ac:dyDescent="0.25">
      <c r="B244" s="65"/>
      <c r="C244" s="66"/>
      <c r="D244" s="66"/>
      <c r="E244" s="66"/>
      <c r="F244" s="66"/>
      <c r="G244" s="66"/>
      <c r="H244" s="66"/>
      <c r="I244" s="66"/>
      <c r="J244" s="66"/>
      <c r="K244" s="82"/>
      <c r="L244" s="82"/>
      <c r="M244" s="82"/>
      <c r="N244" s="82"/>
      <c r="O244" s="82"/>
      <c r="P244" s="82"/>
      <c r="Q244" s="82"/>
      <c r="R244" s="82"/>
      <c r="S244" s="82"/>
      <c r="T244" s="82"/>
      <c r="U244" s="82"/>
      <c r="V244" s="82"/>
      <c r="W244" s="82"/>
      <c r="X244" s="82"/>
    </row>
    <row r="245" spans="2:24" x14ac:dyDescent="0.25">
      <c r="B245" s="65"/>
      <c r="C245" s="66"/>
      <c r="D245" s="66"/>
      <c r="E245" s="66"/>
      <c r="F245" s="66"/>
      <c r="G245" s="66"/>
      <c r="H245" s="66"/>
      <c r="I245" s="66"/>
      <c r="J245" s="66"/>
      <c r="K245" s="82"/>
      <c r="L245" s="82"/>
      <c r="M245" s="82"/>
      <c r="N245" s="82"/>
      <c r="O245" s="82"/>
      <c r="P245" s="82"/>
      <c r="Q245" s="82"/>
      <c r="R245" s="82"/>
      <c r="S245" s="82"/>
      <c r="T245" s="82"/>
      <c r="U245" s="82"/>
      <c r="V245" s="82"/>
      <c r="W245" s="82"/>
      <c r="X245" s="82"/>
    </row>
    <row r="246" spans="2:24" x14ac:dyDescent="0.25">
      <c r="B246" s="65"/>
      <c r="C246" s="66"/>
      <c r="D246" s="66"/>
      <c r="E246" s="66"/>
      <c r="F246" s="66"/>
      <c r="G246" s="66"/>
      <c r="H246" s="66"/>
      <c r="I246" s="66"/>
      <c r="J246" s="66"/>
      <c r="K246" s="82"/>
      <c r="L246" s="82"/>
      <c r="M246" s="82"/>
      <c r="N246" s="82"/>
      <c r="O246" s="82"/>
      <c r="P246" s="82"/>
      <c r="Q246" s="82"/>
      <c r="R246" s="82"/>
      <c r="S246" s="82"/>
      <c r="T246" s="82"/>
      <c r="U246" s="82"/>
      <c r="V246" s="82"/>
      <c r="W246" s="82"/>
      <c r="X246" s="82"/>
    </row>
    <row r="247" spans="2:24" x14ac:dyDescent="0.25">
      <c r="B247" s="65"/>
      <c r="C247" s="66"/>
      <c r="D247" s="66"/>
      <c r="E247" s="66"/>
      <c r="F247" s="66"/>
      <c r="G247" s="66"/>
      <c r="H247" s="66"/>
      <c r="I247" s="66"/>
      <c r="J247" s="66"/>
      <c r="K247" s="82"/>
      <c r="L247" s="82"/>
      <c r="M247" s="82"/>
      <c r="N247" s="82"/>
      <c r="O247" s="82"/>
      <c r="P247" s="82"/>
      <c r="Q247" s="82"/>
      <c r="R247" s="82"/>
      <c r="S247" s="82"/>
      <c r="T247" s="82"/>
      <c r="U247" s="82"/>
      <c r="V247" s="82"/>
      <c r="W247" s="82"/>
      <c r="X247" s="82"/>
    </row>
    <row r="248" spans="2:24" x14ac:dyDescent="0.25">
      <c r="B248" s="65"/>
      <c r="C248" s="66"/>
      <c r="D248" s="66"/>
      <c r="E248" s="66"/>
      <c r="F248" s="66"/>
      <c r="G248" s="66"/>
      <c r="H248" s="66"/>
      <c r="I248" s="66"/>
      <c r="J248" s="66"/>
      <c r="K248" s="82"/>
      <c r="L248" s="82"/>
      <c r="M248" s="82"/>
      <c r="N248" s="82"/>
      <c r="O248" s="82"/>
      <c r="P248" s="82"/>
      <c r="Q248" s="82"/>
      <c r="R248" s="82"/>
      <c r="S248" s="82"/>
      <c r="T248" s="82"/>
      <c r="U248" s="82"/>
      <c r="V248" s="82"/>
      <c r="W248" s="82"/>
      <c r="X248" s="82"/>
    </row>
    <row r="249" spans="2:24" x14ac:dyDescent="0.25">
      <c r="B249" s="65"/>
      <c r="C249" s="66"/>
      <c r="D249" s="66"/>
      <c r="E249" s="66"/>
      <c r="F249" s="66"/>
      <c r="G249" s="66"/>
      <c r="H249" s="66"/>
      <c r="I249" s="66"/>
      <c r="J249" s="66"/>
      <c r="K249" s="82"/>
      <c r="L249" s="82"/>
      <c r="M249" s="82"/>
      <c r="N249" s="82"/>
      <c r="O249" s="82"/>
      <c r="P249" s="82"/>
      <c r="Q249" s="82"/>
      <c r="R249" s="82"/>
      <c r="S249" s="82"/>
      <c r="T249" s="82"/>
      <c r="U249" s="82"/>
      <c r="V249" s="82"/>
      <c r="W249" s="82"/>
      <c r="X249" s="82"/>
    </row>
    <row r="250" spans="2:24" x14ac:dyDescent="0.25">
      <c r="B250" s="65"/>
      <c r="C250" s="66"/>
      <c r="D250" s="66"/>
      <c r="E250" s="66"/>
      <c r="F250" s="66"/>
      <c r="G250" s="66"/>
      <c r="H250" s="66"/>
      <c r="I250" s="66"/>
      <c r="J250" s="66"/>
      <c r="K250" s="82"/>
      <c r="L250" s="82"/>
      <c r="M250" s="82"/>
      <c r="N250" s="82"/>
      <c r="O250" s="82"/>
      <c r="P250" s="82"/>
      <c r="Q250" s="82"/>
      <c r="R250" s="82"/>
      <c r="S250" s="82"/>
      <c r="T250" s="82"/>
      <c r="U250" s="82"/>
      <c r="V250" s="82"/>
      <c r="W250" s="82"/>
      <c r="X250" s="82"/>
    </row>
    <row r="251" spans="2:24" x14ac:dyDescent="0.25">
      <c r="B251" s="65"/>
      <c r="C251" s="66"/>
      <c r="D251" s="66"/>
      <c r="E251" s="66"/>
      <c r="F251" s="66"/>
      <c r="G251" s="66"/>
      <c r="H251" s="66"/>
      <c r="I251" s="66"/>
      <c r="J251" s="66"/>
      <c r="K251" s="82"/>
      <c r="L251" s="82"/>
      <c r="M251" s="82"/>
      <c r="N251" s="82"/>
      <c r="O251" s="82"/>
      <c r="P251" s="82"/>
      <c r="Q251" s="82"/>
      <c r="R251" s="82"/>
      <c r="S251" s="82"/>
      <c r="T251" s="82"/>
      <c r="U251" s="82"/>
      <c r="V251" s="82"/>
      <c r="W251" s="82"/>
      <c r="X251" s="82"/>
    </row>
    <row r="252" spans="2:24" x14ac:dyDescent="0.25">
      <c r="B252" s="65"/>
      <c r="C252" s="66"/>
      <c r="D252" s="66"/>
      <c r="E252" s="66"/>
      <c r="F252" s="66"/>
      <c r="G252" s="66"/>
      <c r="H252" s="66"/>
      <c r="I252" s="66"/>
      <c r="J252" s="66"/>
      <c r="K252" s="82"/>
      <c r="L252" s="82"/>
      <c r="M252" s="82"/>
      <c r="N252" s="82"/>
      <c r="O252" s="82"/>
      <c r="P252" s="82"/>
      <c r="Q252" s="82"/>
      <c r="R252" s="82"/>
      <c r="S252" s="82"/>
      <c r="T252" s="82"/>
      <c r="U252" s="82"/>
      <c r="V252" s="82"/>
      <c r="W252" s="82"/>
      <c r="X252" s="82"/>
    </row>
    <row r="253" spans="2:24" x14ac:dyDescent="0.25">
      <c r="B253" s="65"/>
      <c r="C253" s="66"/>
      <c r="D253" s="66"/>
      <c r="E253" s="66"/>
      <c r="F253" s="66"/>
      <c r="G253" s="66"/>
      <c r="H253" s="66"/>
      <c r="I253" s="66"/>
      <c r="J253" s="66"/>
      <c r="K253" s="82"/>
      <c r="L253" s="82"/>
      <c r="M253" s="82"/>
      <c r="N253" s="82"/>
      <c r="O253" s="82"/>
      <c r="P253" s="82"/>
      <c r="Q253" s="82"/>
      <c r="R253" s="82"/>
      <c r="S253" s="82"/>
      <c r="T253" s="82"/>
      <c r="U253" s="82"/>
      <c r="V253" s="82"/>
      <c r="W253" s="82"/>
      <c r="X253" s="82"/>
    </row>
    <row r="254" spans="2:24" x14ac:dyDescent="0.25">
      <c r="B254" s="65"/>
      <c r="C254" s="66"/>
      <c r="D254" s="66"/>
      <c r="E254" s="66"/>
      <c r="F254" s="66"/>
      <c r="G254" s="66"/>
      <c r="H254" s="66"/>
      <c r="I254" s="66"/>
      <c r="J254" s="66"/>
      <c r="K254" s="82"/>
      <c r="L254" s="82"/>
      <c r="M254" s="82"/>
      <c r="N254" s="82"/>
      <c r="O254" s="82"/>
      <c r="P254" s="82"/>
      <c r="Q254" s="82"/>
      <c r="R254" s="82"/>
      <c r="S254" s="82"/>
      <c r="T254" s="82"/>
      <c r="U254" s="82"/>
      <c r="V254" s="82"/>
      <c r="W254" s="82"/>
      <c r="X254" s="82"/>
    </row>
    <row r="255" spans="2:24" x14ac:dyDescent="0.25">
      <c r="B255" s="65"/>
      <c r="C255" s="66"/>
      <c r="D255" s="66"/>
      <c r="E255" s="66"/>
      <c r="F255" s="66"/>
      <c r="G255" s="66"/>
      <c r="H255" s="66"/>
      <c r="I255" s="66"/>
      <c r="J255" s="66"/>
      <c r="K255" s="82"/>
      <c r="L255" s="82"/>
      <c r="M255" s="82"/>
      <c r="N255" s="82"/>
      <c r="O255" s="82"/>
      <c r="P255" s="82"/>
      <c r="Q255" s="82"/>
      <c r="R255" s="82"/>
      <c r="S255" s="82"/>
      <c r="T255" s="82"/>
      <c r="U255" s="82"/>
      <c r="V255" s="82"/>
      <c r="W255" s="82"/>
      <c r="X255" s="82"/>
    </row>
    <row r="256" spans="2:24" x14ac:dyDescent="0.25">
      <c r="B256" s="65"/>
      <c r="C256" s="66"/>
      <c r="D256" s="66"/>
      <c r="E256" s="66"/>
      <c r="F256" s="66"/>
      <c r="G256" s="66"/>
      <c r="H256" s="66"/>
      <c r="I256" s="66"/>
      <c r="J256" s="66"/>
      <c r="K256" s="82"/>
      <c r="L256" s="82"/>
      <c r="M256" s="82"/>
      <c r="N256" s="82"/>
      <c r="O256" s="82"/>
      <c r="P256" s="82"/>
      <c r="Q256" s="82"/>
      <c r="R256" s="82"/>
      <c r="S256" s="82"/>
      <c r="T256" s="82"/>
      <c r="U256" s="82"/>
      <c r="V256" s="82"/>
      <c r="W256" s="82"/>
      <c r="X256" s="82"/>
    </row>
    <row r="257" spans="2:24" x14ac:dyDescent="0.25">
      <c r="B257" s="65"/>
      <c r="C257" s="66"/>
      <c r="D257" s="66"/>
      <c r="E257" s="66"/>
      <c r="F257" s="66"/>
      <c r="G257" s="66"/>
      <c r="H257" s="66"/>
      <c r="I257" s="66"/>
      <c r="J257" s="66"/>
      <c r="K257" s="82"/>
      <c r="L257" s="82"/>
      <c r="M257" s="82"/>
      <c r="N257" s="82"/>
      <c r="O257" s="82"/>
      <c r="P257" s="82"/>
      <c r="Q257" s="82"/>
      <c r="R257" s="82"/>
      <c r="S257" s="82"/>
      <c r="T257" s="82"/>
      <c r="U257" s="82"/>
      <c r="V257" s="82"/>
      <c r="W257" s="82"/>
      <c r="X257" s="82"/>
    </row>
    <row r="258" spans="2:24" x14ac:dyDescent="0.25">
      <c r="B258" s="65"/>
      <c r="C258" s="66"/>
      <c r="D258" s="66"/>
      <c r="E258" s="66"/>
      <c r="F258" s="66"/>
      <c r="G258" s="66"/>
      <c r="H258" s="66"/>
      <c r="I258" s="66"/>
      <c r="J258" s="66"/>
      <c r="K258" s="82"/>
      <c r="L258" s="82"/>
      <c r="M258" s="82"/>
      <c r="N258" s="82"/>
      <c r="O258" s="82"/>
      <c r="P258" s="82"/>
      <c r="Q258" s="82"/>
      <c r="R258" s="82"/>
      <c r="S258" s="82"/>
      <c r="T258" s="82"/>
      <c r="U258" s="82"/>
      <c r="V258" s="82"/>
      <c r="W258" s="82"/>
      <c r="X258" s="82"/>
    </row>
    <row r="259" spans="2:24" x14ac:dyDescent="0.25">
      <c r="B259" s="65"/>
      <c r="C259" s="66"/>
      <c r="D259" s="66"/>
      <c r="E259" s="66"/>
      <c r="F259" s="66"/>
      <c r="G259" s="66"/>
      <c r="H259" s="66"/>
      <c r="I259" s="66"/>
      <c r="J259" s="66"/>
      <c r="K259" s="82"/>
      <c r="L259" s="82"/>
      <c r="M259" s="82"/>
      <c r="N259" s="82"/>
      <c r="O259" s="82"/>
      <c r="P259" s="82"/>
      <c r="Q259" s="82"/>
      <c r="R259" s="82"/>
      <c r="S259" s="82"/>
      <c r="T259" s="82"/>
      <c r="U259" s="82"/>
      <c r="V259" s="82"/>
      <c r="W259" s="82"/>
      <c r="X259" s="82"/>
    </row>
    <row r="260" spans="2:24" x14ac:dyDescent="0.25">
      <c r="B260" s="65"/>
      <c r="C260" s="66"/>
      <c r="D260" s="66"/>
      <c r="E260" s="66"/>
      <c r="F260" s="66"/>
      <c r="G260" s="66"/>
      <c r="H260" s="66"/>
      <c r="I260" s="66"/>
      <c r="J260" s="66"/>
      <c r="K260" s="82"/>
      <c r="L260" s="82"/>
      <c r="M260" s="82"/>
      <c r="N260" s="82"/>
      <c r="O260" s="82"/>
      <c r="P260" s="82"/>
      <c r="Q260" s="82"/>
      <c r="R260" s="82"/>
      <c r="S260" s="82"/>
      <c r="T260" s="82"/>
      <c r="U260" s="82"/>
      <c r="V260" s="82"/>
      <c r="W260" s="82"/>
      <c r="X260" s="82"/>
    </row>
    <row r="261" spans="2:24" x14ac:dyDescent="0.25">
      <c r="B261" s="65"/>
      <c r="C261" s="66"/>
      <c r="D261" s="66"/>
      <c r="E261" s="66"/>
      <c r="F261" s="66"/>
      <c r="G261" s="66"/>
      <c r="H261" s="66"/>
      <c r="I261" s="66"/>
      <c r="J261" s="66"/>
      <c r="K261" s="82"/>
      <c r="L261" s="82"/>
      <c r="M261" s="82"/>
      <c r="N261" s="82"/>
      <c r="O261" s="82"/>
      <c r="P261" s="82"/>
      <c r="Q261" s="82"/>
      <c r="R261" s="82"/>
      <c r="S261" s="82"/>
      <c r="T261" s="82"/>
      <c r="U261" s="82"/>
      <c r="V261" s="82"/>
      <c r="W261" s="82"/>
      <c r="X261" s="82"/>
    </row>
    <row r="262" spans="2:24" x14ac:dyDescent="0.25">
      <c r="B262" s="65"/>
      <c r="C262" s="66"/>
      <c r="D262" s="66"/>
      <c r="E262" s="66"/>
      <c r="F262" s="66"/>
      <c r="G262" s="66"/>
      <c r="H262" s="66"/>
      <c r="I262" s="66"/>
      <c r="J262" s="66"/>
      <c r="K262" s="82"/>
      <c r="L262" s="82"/>
      <c r="M262" s="82"/>
      <c r="N262" s="82"/>
      <c r="O262" s="82"/>
      <c r="P262" s="82"/>
      <c r="Q262" s="82"/>
      <c r="R262" s="82"/>
      <c r="S262" s="82"/>
      <c r="T262" s="82"/>
      <c r="U262" s="82"/>
      <c r="V262" s="82"/>
      <c r="W262" s="82"/>
      <c r="X262" s="82"/>
    </row>
    <row r="263" spans="2:24" x14ac:dyDescent="0.25">
      <c r="B263" s="65"/>
      <c r="C263" s="66"/>
      <c r="D263" s="66"/>
      <c r="E263" s="66"/>
      <c r="F263" s="66"/>
      <c r="G263" s="66"/>
      <c r="H263" s="66"/>
      <c r="I263" s="66"/>
      <c r="J263" s="66"/>
      <c r="K263" s="82"/>
      <c r="L263" s="82"/>
      <c r="M263" s="82"/>
      <c r="N263" s="82"/>
      <c r="O263" s="82"/>
      <c r="P263" s="82"/>
      <c r="Q263" s="82"/>
      <c r="R263" s="82"/>
      <c r="S263" s="82"/>
      <c r="T263" s="82"/>
      <c r="U263" s="82"/>
      <c r="V263" s="82"/>
      <c r="W263" s="82"/>
      <c r="X263" s="82"/>
    </row>
    <row r="264" spans="2:24" x14ac:dyDescent="0.25">
      <c r="B264" s="65"/>
      <c r="C264" s="66"/>
      <c r="D264" s="66"/>
      <c r="E264" s="66"/>
      <c r="F264" s="66"/>
      <c r="G264" s="66"/>
      <c r="H264" s="66"/>
      <c r="I264" s="66"/>
      <c r="J264" s="66"/>
      <c r="K264" s="82"/>
      <c r="L264" s="82"/>
      <c r="M264" s="82"/>
      <c r="N264" s="82"/>
      <c r="O264" s="82"/>
      <c r="P264" s="82"/>
      <c r="Q264" s="82"/>
      <c r="R264" s="82"/>
      <c r="S264" s="82"/>
      <c r="T264" s="82"/>
      <c r="U264" s="82"/>
      <c r="V264" s="82"/>
      <c r="W264" s="82"/>
      <c r="X264" s="82"/>
    </row>
    <row r="265" spans="2:24" x14ac:dyDescent="0.25">
      <c r="B265" s="65"/>
      <c r="C265" s="66"/>
      <c r="D265" s="66"/>
      <c r="E265" s="66"/>
      <c r="F265" s="66"/>
      <c r="G265" s="66"/>
      <c r="H265" s="66"/>
      <c r="I265" s="66"/>
      <c r="J265" s="66"/>
      <c r="K265" s="82"/>
      <c r="L265" s="82"/>
      <c r="M265" s="82"/>
      <c r="N265" s="82"/>
      <c r="O265" s="82"/>
      <c r="P265" s="82"/>
      <c r="Q265" s="82"/>
      <c r="R265" s="82"/>
      <c r="S265" s="82"/>
      <c r="T265" s="82"/>
      <c r="U265" s="82"/>
      <c r="V265" s="82"/>
      <c r="W265" s="82"/>
      <c r="X265" s="82"/>
    </row>
    <row r="266" spans="2:24" x14ac:dyDescent="0.25">
      <c r="B266" s="65"/>
      <c r="C266" s="66"/>
      <c r="D266" s="66"/>
      <c r="E266" s="66"/>
      <c r="F266" s="66"/>
      <c r="G266" s="66"/>
      <c r="H266" s="66"/>
      <c r="I266" s="66"/>
      <c r="J266" s="66"/>
      <c r="K266" s="82"/>
      <c r="L266" s="82"/>
      <c r="M266" s="82"/>
      <c r="N266" s="82"/>
      <c r="O266" s="82"/>
      <c r="P266" s="82"/>
      <c r="Q266" s="82"/>
      <c r="R266" s="82"/>
      <c r="S266" s="82"/>
      <c r="T266" s="82"/>
      <c r="U266" s="82"/>
      <c r="V266" s="82"/>
      <c r="W266" s="82"/>
      <c r="X266" s="82"/>
    </row>
    <row r="267" spans="2:24" x14ac:dyDescent="0.25">
      <c r="B267" s="65"/>
      <c r="C267" s="66"/>
      <c r="D267" s="66"/>
      <c r="E267" s="66"/>
      <c r="F267" s="66"/>
      <c r="G267" s="66"/>
      <c r="H267" s="66"/>
      <c r="I267" s="66"/>
      <c r="J267" s="66"/>
      <c r="K267" s="82"/>
      <c r="L267" s="82"/>
      <c r="M267" s="82"/>
      <c r="N267" s="82"/>
      <c r="O267" s="82"/>
      <c r="P267" s="82"/>
      <c r="Q267" s="82"/>
      <c r="R267" s="82"/>
      <c r="S267" s="82"/>
      <c r="T267" s="82"/>
      <c r="U267" s="82"/>
      <c r="V267" s="82"/>
      <c r="W267" s="82"/>
      <c r="X267" s="82"/>
    </row>
    <row r="268" spans="2:24" x14ac:dyDescent="0.25">
      <c r="B268" s="65"/>
      <c r="C268" s="66"/>
      <c r="D268" s="66"/>
      <c r="E268" s="66"/>
      <c r="F268" s="66"/>
      <c r="G268" s="66"/>
      <c r="H268" s="66"/>
      <c r="I268" s="66"/>
      <c r="J268" s="66"/>
      <c r="K268" s="82"/>
      <c r="L268" s="82"/>
      <c r="M268" s="82"/>
      <c r="N268" s="82"/>
      <c r="O268" s="82"/>
      <c r="P268" s="82"/>
      <c r="Q268" s="82"/>
      <c r="R268" s="82"/>
      <c r="S268" s="82"/>
      <c r="T268" s="82"/>
      <c r="U268" s="82"/>
      <c r="V268" s="82"/>
      <c r="W268" s="82"/>
      <c r="X268" s="82"/>
    </row>
    <row r="269" spans="2:24" x14ac:dyDescent="0.25">
      <c r="B269" s="65"/>
      <c r="C269" s="66"/>
      <c r="D269" s="66"/>
      <c r="E269" s="66"/>
      <c r="F269" s="66"/>
      <c r="G269" s="66"/>
      <c r="H269" s="66"/>
      <c r="I269" s="66"/>
      <c r="J269" s="66"/>
      <c r="K269" s="82"/>
      <c r="L269" s="82"/>
      <c r="M269" s="82"/>
      <c r="N269" s="82"/>
      <c r="O269" s="82"/>
      <c r="P269" s="82"/>
      <c r="Q269" s="82"/>
      <c r="R269" s="82"/>
      <c r="S269" s="82"/>
      <c r="T269" s="82"/>
      <c r="U269" s="82"/>
      <c r="V269" s="82"/>
      <c r="W269" s="82"/>
      <c r="X269" s="82"/>
    </row>
    <row r="270" spans="2:24" x14ac:dyDescent="0.25">
      <c r="B270" s="65"/>
      <c r="C270" s="66"/>
      <c r="D270" s="66"/>
      <c r="E270" s="66"/>
      <c r="F270" s="66"/>
      <c r="G270" s="66"/>
      <c r="H270" s="66"/>
      <c r="I270" s="66"/>
      <c r="J270" s="66"/>
      <c r="K270" s="82"/>
      <c r="L270" s="82"/>
      <c r="M270" s="82"/>
      <c r="N270" s="82"/>
      <c r="O270" s="82"/>
      <c r="P270" s="82"/>
      <c r="Q270" s="82"/>
      <c r="R270" s="82"/>
      <c r="S270" s="82"/>
      <c r="T270" s="82"/>
      <c r="U270" s="82"/>
      <c r="V270" s="82"/>
      <c r="W270" s="82"/>
      <c r="X270" s="82"/>
    </row>
    <row r="271" spans="2:24" x14ac:dyDescent="0.25">
      <c r="B271" s="65"/>
      <c r="C271" s="66"/>
      <c r="D271" s="66"/>
      <c r="E271" s="66"/>
      <c r="F271" s="66"/>
      <c r="G271" s="66"/>
      <c r="H271" s="66"/>
      <c r="I271" s="66"/>
      <c r="J271" s="66"/>
      <c r="K271" s="82"/>
      <c r="L271" s="82"/>
      <c r="M271" s="82"/>
      <c r="N271" s="82"/>
      <c r="O271" s="82"/>
      <c r="P271" s="82"/>
      <c r="Q271" s="82"/>
      <c r="R271" s="82"/>
      <c r="S271" s="82"/>
      <c r="T271" s="82"/>
      <c r="U271" s="82"/>
      <c r="V271" s="82"/>
      <c r="W271" s="82"/>
      <c r="X271" s="82"/>
    </row>
    <row r="272" spans="2:24" x14ac:dyDescent="0.25">
      <c r="B272" s="65"/>
      <c r="C272" s="66"/>
      <c r="D272" s="66"/>
      <c r="E272" s="66"/>
      <c r="F272" s="66"/>
      <c r="G272" s="66"/>
      <c r="H272" s="66"/>
      <c r="I272" s="66"/>
      <c r="J272" s="66"/>
      <c r="K272" s="82"/>
      <c r="L272" s="82"/>
      <c r="M272" s="82"/>
      <c r="N272" s="82"/>
      <c r="O272" s="82"/>
      <c r="P272" s="82"/>
      <c r="Q272" s="82"/>
      <c r="R272" s="82"/>
      <c r="S272" s="82"/>
      <c r="T272" s="82"/>
      <c r="U272" s="82"/>
      <c r="V272" s="82"/>
      <c r="W272" s="82"/>
      <c r="X272" s="82"/>
    </row>
    <row r="273" spans="2:24" x14ac:dyDescent="0.25">
      <c r="B273" s="65"/>
      <c r="C273" s="66"/>
      <c r="D273" s="66"/>
      <c r="E273" s="66"/>
      <c r="F273" s="66"/>
      <c r="G273" s="66"/>
      <c r="H273" s="66"/>
      <c r="I273" s="66"/>
      <c r="J273" s="66"/>
      <c r="K273" s="82"/>
      <c r="L273" s="82"/>
      <c r="M273" s="82"/>
      <c r="N273" s="82"/>
      <c r="O273" s="82"/>
      <c r="P273" s="82"/>
      <c r="Q273" s="82"/>
      <c r="R273" s="82"/>
      <c r="S273" s="82"/>
      <c r="T273" s="82"/>
      <c r="U273" s="82"/>
      <c r="V273" s="82"/>
      <c r="W273" s="82"/>
      <c r="X273" s="82"/>
    </row>
    <row r="274" spans="2:24" x14ac:dyDescent="0.25">
      <c r="B274" s="65"/>
      <c r="C274" s="66"/>
      <c r="D274" s="66"/>
      <c r="E274" s="66"/>
      <c r="F274" s="66"/>
      <c r="G274" s="66"/>
      <c r="H274" s="66"/>
      <c r="I274" s="66"/>
      <c r="J274" s="66"/>
      <c r="K274" s="82"/>
      <c r="L274" s="82"/>
      <c r="M274" s="82"/>
      <c r="N274" s="82"/>
      <c r="O274" s="82"/>
      <c r="P274" s="82"/>
      <c r="Q274" s="82"/>
      <c r="R274" s="82"/>
      <c r="S274" s="82"/>
      <c r="T274" s="82"/>
      <c r="U274" s="82"/>
      <c r="V274" s="82"/>
      <c r="W274" s="82"/>
      <c r="X274" s="82"/>
    </row>
  </sheetData>
  <mergeCells count="18">
    <mergeCell ref="I15:I16"/>
    <mergeCell ref="J15:J16"/>
    <mergeCell ref="G2:G3"/>
    <mergeCell ref="I2:I3"/>
    <mergeCell ref="J2:J3"/>
    <mergeCell ref="H15:H16"/>
    <mergeCell ref="G15:G16"/>
    <mergeCell ref="H2:H3"/>
    <mergeCell ref="B15:B16"/>
    <mergeCell ref="C15:C16"/>
    <mergeCell ref="D15:D16"/>
    <mergeCell ref="E15:E16"/>
    <mergeCell ref="F15:F16"/>
    <mergeCell ref="B2:B3"/>
    <mergeCell ref="C2:C3"/>
    <mergeCell ref="D2:D3"/>
    <mergeCell ref="E2:E3"/>
    <mergeCell ref="F2:F3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X273"/>
  <sheetViews>
    <sheetView showGridLines="0" workbookViewId="0">
      <selection activeCell="H10" sqref="H10"/>
    </sheetView>
  </sheetViews>
  <sheetFormatPr defaultRowHeight="15" x14ac:dyDescent="0.25"/>
  <cols>
    <col min="1" max="1" width="2.42578125" customWidth="1"/>
    <col min="2" max="2" width="14.7109375" style="15" customWidth="1"/>
    <col min="3" max="5" width="14.7109375" style="1" customWidth="1"/>
    <col min="6" max="6" width="10.7109375" style="1" customWidth="1"/>
    <col min="7" max="7" width="12.7109375" style="1" customWidth="1"/>
    <col min="8" max="10" width="14.7109375" style="1" customWidth="1"/>
    <col min="11" max="11" width="2.42578125" customWidth="1"/>
  </cols>
  <sheetData>
    <row r="1" spans="1:17" ht="15.75" thickBot="1" x14ac:dyDescent="0.3">
      <c r="I1" s="76"/>
    </row>
    <row r="2" spans="1:17" ht="15" customHeight="1" x14ac:dyDescent="0.25">
      <c r="B2" s="132" t="s">
        <v>22</v>
      </c>
      <c r="C2" s="128" t="s">
        <v>208</v>
      </c>
      <c r="D2" s="128" t="s">
        <v>221</v>
      </c>
      <c r="E2" s="128" t="s">
        <v>204</v>
      </c>
      <c r="F2" s="133" t="s">
        <v>23</v>
      </c>
      <c r="G2" s="164"/>
      <c r="H2" s="164"/>
      <c r="I2" s="164"/>
      <c r="J2" s="164"/>
    </row>
    <row r="3" spans="1:17" ht="15.75" customHeight="1" thickBot="1" x14ac:dyDescent="0.3">
      <c r="B3" s="134"/>
      <c r="C3" s="129"/>
      <c r="D3" s="129"/>
      <c r="E3" s="129"/>
      <c r="F3" s="135"/>
      <c r="G3" s="164"/>
      <c r="H3" s="164"/>
      <c r="I3" s="164"/>
      <c r="J3" s="164"/>
    </row>
    <row r="4" spans="1:17" x14ac:dyDescent="0.25">
      <c r="A4" s="69"/>
      <c r="B4" s="104">
        <v>44197</v>
      </c>
      <c r="C4" s="64">
        <f>SUMIFS('Raw Data'!$I$5:$I$514,'Raw Data'!$F$5:$F$514,"&gt;="&amp;$B4,'Raw Data'!$F$5:$F$514,"&lt;="&amp;EOMONTH($B4,0))</f>
        <v>367897.90999999992</v>
      </c>
      <c r="D4" s="75">
        <f>COUNTIFS('Raw Data'!$F$5:$F$514,"&gt;="&amp;$B4,'Raw Data'!$F$5:$F$514,"&lt;="&amp;EOMONTH($B4,0))</f>
        <v>18</v>
      </c>
      <c r="E4" s="64">
        <f>SUMIFS('Raw Data'!$I$5:$I$514,'Raw Data'!$F$5:$F$514,"&gt;="&amp;$B4,'Raw Data'!$F$5:$F$514,"&lt;="&amp;EOMONTH($B4,0))/COUNTIFS('Raw Data'!$F$5:$F$514,"&gt;="&amp;$B4,'Raw Data'!$F$5:$F$514,"&lt;="&amp;EOMONTH($B4,0))</f>
        <v>20438.772777777773</v>
      </c>
      <c r="F4" s="106">
        <f>SUMIFS('Raw Data'!$K$5:$K$514,'Raw Data'!$F$5:$F$514,"&gt;="&amp;$B4,'Raw Data'!$F$5:$F$514,"&lt;="&amp;EOMONTH($B4,0))/COUNTIFS('Raw Data'!$F$5:$F$514,"&gt;="&amp;$B4,'Raw Data'!$F$5:$F$514,"&lt;="&amp;EOMONTH($B4,0))</f>
        <v>0.52565317227120356</v>
      </c>
      <c r="G4" s="93"/>
      <c r="H4" s="92"/>
      <c r="I4" s="92"/>
      <c r="J4" s="92"/>
    </row>
    <row r="5" spans="1:17" x14ac:dyDescent="0.25">
      <c r="A5" s="69"/>
      <c r="B5" s="103">
        <v>44228</v>
      </c>
      <c r="C5" s="63">
        <f>SUMIFS('Raw Data'!$I$5:$I$514,'Raw Data'!$F$5:$F$514,"&gt;="&amp;$B5,'Raw Data'!$F$5:$F$514,"&lt;="&amp;EOMONTH($B5,0))</f>
        <v>342677.60000000003</v>
      </c>
      <c r="D5" s="75">
        <f>COUNTIFS('Raw Data'!$F$5:$F$514,"&gt;="&amp;$B5,'Raw Data'!$F$5:$F$514,"&lt;="&amp;EOMONTH($B5,0))</f>
        <v>19</v>
      </c>
      <c r="E5" s="64">
        <f>SUMIFS('Raw Data'!$I$5:$I$514,'Raw Data'!$F$5:$F$514,"&gt;="&amp;$B5,'Raw Data'!$F$5:$F$514,"&lt;="&amp;EOMONTH($B5,0))/COUNTIFS('Raw Data'!$F$5:$F$514,"&gt;="&amp;$B5,'Raw Data'!$F$5:$F$514,"&lt;="&amp;EOMONTH($B5,0))</f>
        <v>18035.663157894738</v>
      </c>
      <c r="F5" s="106">
        <f>SUMIFS('Raw Data'!$K$5:$K$514,'Raw Data'!$F$5:$F$514,"&gt;="&amp;$B5,'Raw Data'!$F$5:$F$514,"&lt;="&amp;EOMONTH($B5,0))/COUNTIFS('Raw Data'!$F$5:$F$514,"&gt;="&amp;$B5,'Raw Data'!$F$5:$F$514,"&lt;="&amp;EOMONTH($B5,0))</f>
        <v>0.51857555980871661</v>
      </c>
      <c r="G5" s="93"/>
      <c r="H5" s="92"/>
      <c r="I5" s="92"/>
      <c r="J5" s="92"/>
    </row>
    <row r="6" spans="1:17" x14ac:dyDescent="0.25">
      <c r="A6" s="69"/>
      <c r="B6" s="103">
        <v>44256</v>
      </c>
      <c r="C6" s="63">
        <f>SUMIFS('Raw Data'!$I$5:$I$514,'Raw Data'!$F$5:$F$514,"&gt;="&amp;$B6,'Raw Data'!$F$5:$F$514,"&lt;="&amp;EOMONTH($B6,0))</f>
        <v>317298.01</v>
      </c>
      <c r="D6" s="75">
        <f>COUNTIFS('Raw Data'!$F$5:$F$514,"&gt;="&amp;$B6,'Raw Data'!$F$5:$F$514,"&lt;="&amp;EOMONTH($B6,0))</f>
        <v>21</v>
      </c>
      <c r="E6" s="64">
        <f>SUMIFS('Raw Data'!$I$5:$I$514,'Raw Data'!$F$5:$F$514,"&gt;="&amp;$B6,'Raw Data'!$F$5:$F$514,"&lt;="&amp;EOMONTH($B6,0))/COUNTIFS('Raw Data'!$F$5:$F$514,"&gt;="&amp;$B6,'Raw Data'!$F$5:$F$514,"&lt;="&amp;EOMONTH($B6,0))</f>
        <v>15109.429047619047</v>
      </c>
      <c r="F6" s="106">
        <f>SUMIFS('Raw Data'!$K$5:$K$514,'Raw Data'!$F$5:$F$514,"&gt;="&amp;$B6,'Raw Data'!$F$5:$F$514,"&lt;="&amp;EOMONTH($B6,0))/COUNTIFS('Raw Data'!$F$5:$F$514,"&gt;="&amp;$B6,'Raw Data'!$F$5:$F$514,"&lt;="&amp;EOMONTH($B6,0))</f>
        <v>0.53773931232668759</v>
      </c>
      <c r="G6" s="93"/>
      <c r="H6" s="92"/>
      <c r="I6" s="92"/>
      <c r="J6" s="92"/>
      <c r="M6" s="115"/>
    </row>
    <row r="7" spans="1:17" x14ac:dyDescent="0.25">
      <c r="A7" s="69"/>
      <c r="B7" s="104">
        <v>44287</v>
      </c>
      <c r="C7" s="63">
        <f>SUMIFS('Raw Data'!$I$5:$I$514,'Raw Data'!$F$5:$F$514,"&gt;="&amp;$B7,'Raw Data'!$F$5:$F$514,"&lt;="&amp;EOMONTH($B7,0))</f>
        <v>582201.37000000011</v>
      </c>
      <c r="D7" s="75">
        <f>COUNTIFS('Raw Data'!$F$5:$F$514,"&gt;="&amp;$B7,'Raw Data'!$F$5:$F$514,"&lt;="&amp;EOMONTH($B7,0))</f>
        <v>32</v>
      </c>
      <c r="E7" s="64">
        <f>SUMIFS('Raw Data'!$I$5:$I$514,'Raw Data'!$F$5:$F$514,"&gt;="&amp;$B7,'Raw Data'!$F$5:$F$514,"&lt;="&amp;EOMONTH($B7,0))/COUNTIFS('Raw Data'!$F$5:$F$514,"&gt;="&amp;$B7,'Raw Data'!$F$5:$F$514,"&lt;="&amp;EOMONTH($B7,0))</f>
        <v>18193.792812500003</v>
      </c>
      <c r="F7" s="106">
        <f>SUMIFS('Raw Data'!$K$5:$K$514,'Raw Data'!$F$5:$F$514,"&gt;="&amp;$B7,'Raw Data'!$F$5:$F$514,"&lt;="&amp;EOMONTH($B7,0))/COUNTIFS('Raw Data'!$F$5:$F$514,"&gt;="&amp;$B7,'Raw Data'!$F$5:$F$514,"&lt;="&amp;EOMONTH($B7,0))</f>
        <v>0.50692064321911057</v>
      </c>
      <c r="G7" s="93"/>
      <c r="H7" s="92"/>
      <c r="I7" s="92"/>
      <c r="J7" s="92"/>
    </row>
    <row r="8" spans="1:17" x14ac:dyDescent="0.25">
      <c r="A8" s="69"/>
      <c r="B8" s="103">
        <v>44317</v>
      </c>
      <c r="C8" s="63">
        <f>SUMIFS('Raw Data'!$I$5:$I$514,'Raw Data'!$F$5:$F$514,"&gt;="&amp;$B8,'Raw Data'!$F$5:$F$514,"&lt;="&amp;EOMONTH($B8,0))</f>
        <v>452144.47</v>
      </c>
      <c r="D8" s="75">
        <f>COUNTIFS('Raw Data'!$F$5:$F$514,"&gt;="&amp;$B8,'Raw Data'!$F$5:$F$514,"&lt;="&amp;EOMONTH($B8,0))</f>
        <v>26</v>
      </c>
      <c r="E8" s="64">
        <f>SUMIFS('Raw Data'!$I$5:$I$514,'Raw Data'!$F$5:$F$514,"&gt;="&amp;$B8,'Raw Data'!$F$5:$F$514,"&lt;="&amp;EOMONTH($B8,0))/COUNTIFS('Raw Data'!$F$5:$F$514,"&gt;="&amp;$B8,'Raw Data'!$F$5:$F$514,"&lt;="&amp;EOMONTH($B8,0))</f>
        <v>17390.171923076923</v>
      </c>
      <c r="F8" s="106">
        <f>SUMIFS('Raw Data'!$K$5:$K$514,'Raw Data'!$F$5:$F$514,"&gt;="&amp;$B8,'Raw Data'!$F$5:$F$514,"&lt;="&amp;EOMONTH($B8,0))/COUNTIFS('Raw Data'!$F$5:$F$514,"&gt;="&amp;$B8,'Raw Data'!$F$5:$F$514,"&lt;="&amp;EOMONTH($B8,0))</f>
        <v>0.52147390519361403</v>
      </c>
      <c r="G8" s="93"/>
      <c r="H8" s="92"/>
      <c r="I8" s="92"/>
      <c r="J8" s="92"/>
      <c r="Q8" s="6"/>
    </row>
    <row r="9" spans="1:17" x14ac:dyDescent="0.25">
      <c r="A9" s="69"/>
      <c r="B9" s="104">
        <v>44348</v>
      </c>
      <c r="C9" s="63">
        <f>SUMIFS('Raw Data'!$I$5:$I$514,'Raw Data'!$F$5:$F$514,"&gt;="&amp;$B9,'Raw Data'!$F$5:$F$514,"&lt;="&amp;EOMONTH($B9,0))</f>
        <v>258241.92999999993</v>
      </c>
      <c r="D9" s="75">
        <f>COUNTIFS('Raw Data'!$F$5:$F$514,"&gt;="&amp;$B9,'Raw Data'!$F$5:$F$514,"&lt;="&amp;EOMONTH($B9,0))</f>
        <v>19</v>
      </c>
      <c r="E9" s="64">
        <f>SUMIFS('Raw Data'!$I$5:$I$514,'Raw Data'!$F$5:$F$514,"&gt;="&amp;$B9,'Raw Data'!$F$5:$F$514,"&lt;="&amp;EOMONTH($B9,0))/COUNTIFS('Raw Data'!$F$5:$F$514,"&gt;="&amp;$B9,'Raw Data'!$F$5:$F$514,"&lt;="&amp;EOMONTH($B9,0))</f>
        <v>13591.680526315786</v>
      </c>
      <c r="F9" s="106">
        <f>SUMIFS('Raw Data'!$K$5:$K$514,'Raw Data'!$F$5:$F$514,"&gt;="&amp;$B9,'Raw Data'!$F$5:$F$514,"&lt;="&amp;EOMONTH($B9,0))/COUNTIFS('Raw Data'!$F$5:$F$514,"&gt;="&amp;$B9,'Raw Data'!$F$5:$F$514,"&lt;="&amp;EOMONTH($B9,0))</f>
        <v>0.54502370302281844</v>
      </c>
      <c r="G9" s="93"/>
      <c r="H9" s="92"/>
      <c r="I9" s="92"/>
      <c r="J9" s="92"/>
    </row>
    <row r="10" spans="1:17" x14ac:dyDescent="0.25">
      <c r="A10" s="69"/>
      <c r="B10" s="103">
        <v>44378</v>
      </c>
      <c r="C10" s="63">
        <f>SUMIFS('Raw Data'!$I$5:$I$514,'Raw Data'!$F$5:$F$514,"&gt;="&amp;$B10,'Raw Data'!$F$5:$F$514,"&lt;="&amp;EOMONTH($B10,0))</f>
        <v>287965.94</v>
      </c>
      <c r="D10" s="75">
        <f>COUNTIFS('Raw Data'!$F$5:$F$514,"&gt;="&amp;$B10,'Raw Data'!$F$5:$F$514,"&lt;="&amp;EOMONTH($B10,0))</f>
        <v>16</v>
      </c>
      <c r="E10" s="64">
        <f>SUMIFS('Raw Data'!$I$5:$I$514,'Raw Data'!$F$5:$F$514,"&gt;="&amp;$B10,'Raw Data'!$F$5:$F$514,"&lt;="&amp;EOMONTH($B10,0))/COUNTIFS('Raw Data'!$F$5:$F$514,"&gt;="&amp;$B10,'Raw Data'!$F$5:$F$514,"&lt;="&amp;EOMONTH($B10,0))</f>
        <v>17997.87125</v>
      </c>
      <c r="F10" s="106">
        <f>SUMIFS('Raw Data'!$K$5:$K$514,'Raw Data'!$F$5:$F$514,"&gt;="&amp;$B10,'Raw Data'!$F$5:$F$514,"&lt;="&amp;EOMONTH($B10,0))/COUNTIFS('Raw Data'!$F$5:$F$514,"&gt;="&amp;$B10,'Raw Data'!$F$5:$F$514,"&lt;="&amp;EOMONTH($B10,0))</f>
        <v>0.50458266495682125</v>
      </c>
      <c r="G10" s="93"/>
      <c r="H10" s="92"/>
      <c r="I10" s="92"/>
      <c r="J10" s="92"/>
    </row>
    <row r="11" spans="1:17" x14ac:dyDescent="0.25">
      <c r="A11" s="69"/>
      <c r="B11" s="103">
        <v>44409</v>
      </c>
      <c r="C11" s="63">
        <f>SUMIFS('Raw Data'!$I$5:$I$514,'Raw Data'!$F$5:$F$514,"&gt;="&amp;$B11,'Raw Data'!$F$5:$F$514,"&lt;="&amp;EOMONTH($B11,0))</f>
        <v>351377.25</v>
      </c>
      <c r="D11" s="75">
        <f>COUNTIFS('Raw Data'!$F$5:$F$514,"&gt;="&amp;$B11,'Raw Data'!$F$5:$F$514,"&lt;="&amp;EOMONTH($B11,0))</f>
        <v>18</v>
      </c>
      <c r="E11" s="64">
        <f>SUMIFS('Raw Data'!$I$5:$I$514,'Raw Data'!$F$5:$F$514,"&gt;="&amp;$B11,'Raw Data'!$F$5:$F$514,"&lt;="&amp;EOMONTH($B11,0))/COUNTIFS('Raw Data'!$F$5:$F$514,"&gt;="&amp;$B11,'Raw Data'!$F$5:$F$514,"&lt;="&amp;EOMONTH($B11,0))</f>
        <v>19520.958333333332</v>
      </c>
      <c r="F11" s="106">
        <f>SUMIFS('Raw Data'!$K$5:$K$514,'Raw Data'!$F$5:$F$514,"&gt;="&amp;$B11,'Raw Data'!$F$5:$F$514,"&lt;="&amp;EOMONTH($B11,0))/COUNTIFS('Raw Data'!$F$5:$F$514,"&gt;="&amp;$B11,'Raw Data'!$F$5:$F$514,"&lt;="&amp;EOMONTH($B11,0))</f>
        <v>0.51892535496468684</v>
      </c>
      <c r="G11" s="93"/>
      <c r="H11" s="92"/>
      <c r="I11" s="92"/>
      <c r="J11" s="92"/>
    </row>
    <row r="12" spans="1:17" x14ac:dyDescent="0.25">
      <c r="A12" s="69"/>
      <c r="B12" s="104">
        <v>44440</v>
      </c>
      <c r="C12" s="63">
        <f>SUMIFS('Raw Data'!$I$5:$I$514,'Raw Data'!$F$5:$F$514,"&gt;="&amp;$B12,'Raw Data'!$F$5:$F$514,"&lt;="&amp;EOMONTH($B12,0))</f>
        <v>191581.59999999998</v>
      </c>
      <c r="D12" s="75">
        <f>COUNTIFS('Raw Data'!$F$5:$F$514,"&gt;="&amp;$B12,'Raw Data'!$F$5:$F$514,"&lt;="&amp;EOMONTH($B12,0))</f>
        <v>16</v>
      </c>
      <c r="E12" s="64">
        <f>SUMIFS('Raw Data'!$I$5:$I$514,'Raw Data'!$F$5:$F$514,"&gt;="&amp;$B12,'Raw Data'!$F$5:$F$514,"&lt;="&amp;EOMONTH($B12,0))/COUNTIFS('Raw Data'!$F$5:$F$514,"&gt;="&amp;$B12,'Raw Data'!$F$5:$F$514,"&lt;="&amp;EOMONTH($B12,0))</f>
        <v>11973.849999999999</v>
      </c>
      <c r="F12" s="106">
        <f>SUMIFS('Raw Data'!$K$5:$K$514,'Raw Data'!$F$5:$F$514,"&gt;="&amp;$B12,'Raw Data'!$F$5:$F$514,"&lt;="&amp;EOMONTH($B12,0))/COUNTIFS('Raw Data'!$F$5:$F$514,"&gt;="&amp;$B12,'Raw Data'!$F$5:$F$514,"&lt;="&amp;EOMONTH($B12,0))</f>
        <v>0.49766300578455236</v>
      </c>
      <c r="G12" s="93"/>
      <c r="H12" s="92"/>
      <c r="I12" s="92"/>
      <c r="J12" s="92"/>
    </row>
    <row r="13" spans="1:17" x14ac:dyDescent="0.25">
      <c r="A13" s="69"/>
      <c r="B13" s="103">
        <v>44470</v>
      </c>
      <c r="C13" s="63">
        <f>SUMIFS('Raw Data'!$I$5:$I$514,'Raw Data'!$F$5:$F$514,"&gt;="&amp;$B13,'Raw Data'!$F$5:$F$514,"&lt;="&amp;EOMONTH($B13,0))</f>
        <v>430841.86</v>
      </c>
      <c r="D13" s="75">
        <f>COUNTIFS('Raw Data'!$F$5:$F$514,"&gt;="&amp;$B13,'Raw Data'!$F$5:$F$514,"&lt;="&amp;EOMONTH($B13,0))</f>
        <v>20</v>
      </c>
      <c r="E13" s="64">
        <f>SUMIFS('Raw Data'!$I$5:$I$514,'Raw Data'!$F$5:$F$514,"&gt;="&amp;$B13,'Raw Data'!$F$5:$F$514,"&lt;="&amp;EOMONTH($B13,0))/COUNTIFS('Raw Data'!$F$5:$F$514,"&gt;="&amp;$B13,'Raw Data'!$F$5:$F$514,"&lt;="&amp;EOMONTH($B13,0))</f>
        <v>21542.093000000001</v>
      </c>
      <c r="F13" s="106">
        <f>SUMIFS('Raw Data'!$K$5:$K$514,'Raw Data'!$F$5:$F$514,"&gt;="&amp;$B13,'Raw Data'!$F$5:$F$514,"&lt;="&amp;EOMONTH($B13,0))/COUNTIFS('Raw Data'!$F$5:$F$514,"&gt;="&amp;$B13,'Raw Data'!$F$5:$F$514,"&lt;="&amp;EOMONTH($B13,0))</f>
        <v>0.51472771640442916</v>
      </c>
      <c r="G13" s="93"/>
      <c r="H13" s="92"/>
      <c r="I13" s="92"/>
      <c r="J13" s="92"/>
      <c r="Q13" s="6"/>
    </row>
    <row r="14" spans="1:17" x14ac:dyDescent="0.25">
      <c r="A14" s="69"/>
      <c r="B14" s="104">
        <v>44501</v>
      </c>
      <c r="C14" s="63">
        <f>SUMIFS('Raw Data'!$I$5:$I$514,'Raw Data'!$F$5:$F$514,"&gt;="&amp;$B14,'Raw Data'!$F$5:$F$514,"&lt;="&amp;EOMONTH($B14,0))</f>
        <v>409413.46</v>
      </c>
      <c r="D14" s="75">
        <f>COUNTIFS('Raw Data'!$F$5:$F$514,"&gt;="&amp;$B14,'Raw Data'!$F$5:$F$514,"&lt;="&amp;EOMONTH($B14,0))</f>
        <v>15</v>
      </c>
      <c r="E14" s="64">
        <f>SUMIFS('Raw Data'!$I$5:$I$514,'Raw Data'!$F$5:$F$514,"&gt;="&amp;$B14,'Raw Data'!$F$5:$F$514,"&lt;="&amp;EOMONTH($B14,0))/COUNTIFS('Raw Data'!$F$5:$F$514,"&gt;="&amp;$B14,'Raw Data'!$F$5:$F$514,"&lt;="&amp;EOMONTH($B14,0))</f>
        <v>27294.230666666666</v>
      </c>
      <c r="F14" s="106">
        <f>SUMIFS('Raw Data'!$K$5:$K$514,'Raw Data'!$F$5:$F$514,"&gt;="&amp;$B14,'Raw Data'!$F$5:$F$514,"&lt;="&amp;EOMONTH($B14,0))/COUNTIFS('Raw Data'!$F$5:$F$514,"&gt;="&amp;$B14,'Raw Data'!$F$5:$F$514,"&lt;="&amp;EOMONTH($B14,0))</f>
        <v>0.54568693248916311</v>
      </c>
      <c r="G14" s="93"/>
      <c r="H14" s="92"/>
      <c r="I14" s="92"/>
      <c r="J14" s="92"/>
    </row>
    <row r="15" spans="1:17" ht="15.75" thickBot="1" x14ac:dyDescent="0.3">
      <c r="A15" s="69"/>
      <c r="B15" s="105">
        <v>44531</v>
      </c>
      <c r="C15" s="94">
        <f>SUMIFS('Raw Data'!$I$5:$I$514,'Raw Data'!$F$5:$F$514,"&gt;="&amp;$B15,'Raw Data'!$F$5:$F$514,"&lt;="&amp;EOMONTH($B15,0))</f>
        <v>315163.92</v>
      </c>
      <c r="D15" s="75">
        <f>COUNTIFS('Raw Data'!$F$5:$F$514,"&gt;="&amp;$B15,'Raw Data'!$F$5:$F$514,"&lt;="&amp;EOMONTH($B15,0))</f>
        <v>14</v>
      </c>
      <c r="E15" s="64">
        <f>SUMIFS('Raw Data'!$I$5:$I$514,'Raw Data'!$F$5:$F$514,"&gt;="&amp;$B15,'Raw Data'!$F$5:$F$514,"&lt;="&amp;EOMONTH($B15,0))/COUNTIFS('Raw Data'!$F$5:$F$514,"&gt;="&amp;$B15,'Raw Data'!$F$5:$F$514,"&lt;="&amp;EOMONTH($B15,0))</f>
        <v>22511.708571428571</v>
      </c>
      <c r="F15" s="106">
        <f>SUMIFS('Raw Data'!$K$5:$K$514,'Raw Data'!$F$5:$F$514,"&gt;="&amp;$B15,'Raw Data'!$F$5:$F$514,"&lt;="&amp;EOMONTH($B15,0))/COUNTIFS('Raw Data'!$F$5:$F$514,"&gt;="&amp;$B15,'Raw Data'!$F$5:$F$514,"&lt;="&amp;EOMONTH($B15,0))</f>
        <v>0.53355169277627668</v>
      </c>
      <c r="G15" s="93"/>
      <c r="H15" s="92"/>
      <c r="I15" s="92"/>
      <c r="J15" s="92"/>
    </row>
    <row r="16" spans="1:17" ht="15.75" customHeight="1" x14ac:dyDescent="0.25">
      <c r="B16" s="132"/>
      <c r="C16" s="161">
        <f>SUM(C4:C15)</f>
        <v>4306805.32</v>
      </c>
      <c r="D16" s="156">
        <f>SUM(D4:D15)</f>
        <v>234</v>
      </c>
      <c r="E16" s="161">
        <f>C16/D16</f>
        <v>18405.150940170941</v>
      </c>
      <c r="F16" s="166">
        <f>'Raw Data'!K3</f>
        <v>0.52282043921739596</v>
      </c>
      <c r="G16" s="165"/>
      <c r="H16" s="163"/>
      <c r="I16" s="163"/>
      <c r="J16" s="163"/>
    </row>
    <row r="17" spans="2:23" ht="15.75" customHeight="1" thickBot="1" x14ac:dyDescent="0.3">
      <c r="B17" s="134"/>
      <c r="C17" s="162"/>
      <c r="D17" s="157"/>
      <c r="E17" s="162"/>
      <c r="F17" s="167"/>
      <c r="G17" s="165"/>
      <c r="H17" s="163"/>
      <c r="I17" s="163"/>
      <c r="J17" s="163"/>
    </row>
    <row r="18" spans="2:23" ht="15.75" thickBot="1" x14ac:dyDescent="0.3">
      <c r="B18" s="65"/>
      <c r="C18" s="66"/>
      <c r="D18" s="66"/>
      <c r="E18" s="66"/>
      <c r="F18" s="66"/>
      <c r="G18" s="66"/>
      <c r="H18" s="66"/>
      <c r="I18" s="66"/>
      <c r="J18" s="66"/>
    </row>
    <row r="19" spans="2:23" x14ac:dyDescent="0.25">
      <c r="B19" s="77"/>
      <c r="C19" s="78"/>
      <c r="D19" s="78"/>
      <c r="E19" s="78"/>
      <c r="F19" s="78"/>
      <c r="G19" s="78"/>
      <c r="H19" s="78"/>
      <c r="I19" s="78"/>
      <c r="J19" s="78"/>
      <c r="K19" s="79"/>
      <c r="L19" s="79"/>
      <c r="M19" s="79"/>
      <c r="N19" s="79"/>
      <c r="O19" s="79"/>
      <c r="P19" s="79"/>
      <c r="Q19" s="79"/>
      <c r="R19" s="79"/>
      <c r="S19" s="79"/>
      <c r="T19" s="79"/>
      <c r="U19" s="79"/>
      <c r="V19" s="79"/>
      <c r="W19" s="80"/>
    </row>
    <row r="20" spans="2:23" x14ac:dyDescent="0.25">
      <c r="B20" s="81"/>
      <c r="C20" s="67"/>
      <c r="D20" s="67"/>
      <c r="E20" s="67"/>
      <c r="F20" s="67"/>
      <c r="G20" s="67"/>
      <c r="H20" s="67"/>
      <c r="I20" s="67"/>
      <c r="J20" s="67"/>
      <c r="K20" s="82"/>
      <c r="L20" s="82"/>
      <c r="M20" s="82"/>
      <c r="N20" s="82"/>
      <c r="O20" s="82"/>
      <c r="P20" s="82"/>
      <c r="Q20" s="82"/>
      <c r="R20" s="82"/>
      <c r="S20" s="82"/>
      <c r="T20" s="82"/>
      <c r="U20" s="82"/>
      <c r="V20" s="82"/>
      <c r="W20" s="83"/>
    </row>
    <row r="21" spans="2:23" x14ac:dyDescent="0.25">
      <c r="B21" s="81"/>
      <c r="C21" s="67"/>
      <c r="D21" s="67"/>
      <c r="E21" s="67"/>
      <c r="F21" s="67"/>
      <c r="G21" s="67"/>
      <c r="H21" s="67"/>
      <c r="I21" s="67"/>
      <c r="J21" s="67"/>
      <c r="K21" s="82"/>
      <c r="L21" s="82"/>
      <c r="M21" s="82"/>
      <c r="N21" s="82"/>
      <c r="O21" s="82"/>
      <c r="P21" s="82"/>
      <c r="Q21" s="82"/>
      <c r="R21" s="82"/>
      <c r="S21" s="82"/>
      <c r="T21" s="82"/>
      <c r="U21" s="82"/>
      <c r="V21" s="82"/>
      <c r="W21" s="83"/>
    </row>
    <row r="22" spans="2:23" x14ac:dyDescent="0.25">
      <c r="B22" s="81"/>
      <c r="C22" s="67"/>
      <c r="D22" s="67"/>
      <c r="E22" s="67"/>
      <c r="F22" s="67"/>
      <c r="G22" s="67"/>
      <c r="H22" s="67"/>
      <c r="I22" s="67"/>
      <c r="J22" s="67"/>
      <c r="K22" s="82"/>
      <c r="L22" s="82"/>
      <c r="M22" s="82"/>
      <c r="N22" s="82"/>
      <c r="O22" s="82"/>
      <c r="P22" s="82"/>
      <c r="Q22" s="82"/>
      <c r="R22" s="82"/>
      <c r="S22" s="82"/>
      <c r="T22" s="82"/>
      <c r="U22" s="82"/>
      <c r="V22" s="82"/>
      <c r="W22" s="83"/>
    </row>
    <row r="23" spans="2:23" x14ac:dyDescent="0.25">
      <c r="B23" s="81"/>
      <c r="C23" s="67"/>
      <c r="D23" s="67"/>
      <c r="E23" s="67"/>
      <c r="F23" s="67"/>
      <c r="G23" s="67"/>
      <c r="H23" s="67"/>
      <c r="I23" s="67"/>
      <c r="J23" s="67"/>
      <c r="K23" s="82"/>
      <c r="L23" s="82"/>
      <c r="M23" s="82"/>
      <c r="N23" s="82"/>
      <c r="O23" s="82"/>
      <c r="P23" s="82"/>
      <c r="Q23" s="82"/>
      <c r="R23" s="82"/>
      <c r="S23" s="82"/>
      <c r="T23" s="82"/>
      <c r="U23" s="82"/>
      <c r="V23" s="82"/>
      <c r="W23" s="83"/>
    </row>
    <row r="24" spans="2:23" x14ac:dyDescent="0.25">
      <c r="B24" s="81"/>
      <c r="C24" s="67"/>
      <c r="D24" s="67"/>
      <c r="E24" s="67"/>
      <c r="F24" s="67"/>
      <c r="G24" s="67"/>
      <c r="H24" s="67"/>
      <c r="I24" s="67"/>
      <c r="J24" s="67"/>
      <c r="K24" s="82"/>
      <c r="L24" s="82"/>
      <c r="M24" s="82"/>
      <c r="N24" s="82"/>
      <c r="O24" s="82"/>
      <c r="P24" s="82"/>
      <c r="Q24" s="82"/>
      <c r="R24" s="82"/>
      <c r="S24" s="82"/>
      <c r="T24" s="82"/>
      <c r="U24" s="82"/>
      <c r="V24" s="82"/>
      <c r="W24" s="83"/>
    </row>
    <row r="25" spans="2:23" x14ac:dyDescent="0.25">
      <c r="B25" s="81"/>
      <c r="C25" s="67"/>
      <c r="D25" s="67"/>
      <c r="E25" s="67"/>
      <c r="F25" s="67"/>
      <c r="G25" s="67"/>
      <c r="H25" s="67"/>
      <c r="I25" s="67"/>
      <c r="J25" s="67"/>
      <c r="K25" s="82"/>
      <c r="L25" s="82"/>
      <c r="M25" s="82"/>
      <c r="N25" s="82"/>
      <c r="O25" s="82"/>
      <c r="P25" s="82"/>
      <c r="Q25" s="82"/>
      <c r="R25" s="82"/>
      <c r="S25" s="82"/>
      <c r="T25" s="82"/>
      <c r="U25" s="82"/>
      <c r="V25" s="82"/>
      <c r="W25" s="83"/>
    </row>
    <row r="26" spans="2:23" x14ac:dyDescent="0.25">
      <c r="B26" s="81"/>
      <c r="C26" s="67"/>
      <c r="D26" s="67"/>
      <c r="E26" s="67"/>
      <c r="F26" s="67"/>
      <c r="G26" s="67"/>
      <c r="H26" s="67"/>
      <c r="I26" s="67"/>
      <c r="J26" s="67"/>
      <c r="K26" s="82"/>
      <c r="L26" s="82"/>
      <c r="M26" s="82"/>
      <c r="N26" s="82"/>
      <c r="O26" s="82"/>
      <c r="P26" s="82"/>
      <c r="Q26" s="82"/>
      <c r="R26" s="82"/>
      <c r="S26" s="82"/>
      <c r="T26" s="82"/>
      <c r="U26" s="82"/>
      <c r="V26" s="82"/>
      <c r="W26" s="83"/>
    </row>
    <row r="27" spans="2:23" x14ac:dyDescent="0.25">
      <c r="B27" s="81"/>
      <c r="C27" s="67"/>
      <c r="D27" s="67"/>
      <c r="E27" s="67"/>
      <c r="F27" s="67"/>
      <c r="G27" s="67"/>
      <c r="H27" s="67"/>
      <c r="I27" s="67"/>
      <c r="J27" s="67"/>
      <c r="K27" s="82"/>
      <c r="L27" s="82"/>
      <c r="M27" s="82"/>
      <c r="N27" s="82"/>
      <c r="O27" s="82"/>
      <c r="P27" s="82"/>
      <c r="Q27" s="82"/>
      <c r="R27" s="82"/>
      <c r="S27" s="82"/>
      <c r="T27" s="82"/>
      <c r="U27" s="82"/>
      <c r="V27" s="82"/>
      <c r="W27" s="83"/>
    </row>
    <row r="28" spans="2:23" x14ac:dyDescent="0.25">
      <c r="B28" s="81"/>
      <c r="C28" s="67"/>
      <c r="D28" s="67"/>
      <c r="E28" s="67"/>
      <c r="F28" s="67"/>
      <c r="G28" s="67"/>
      <c r="H28" s="67"/>
      <c r="I28" s="67"/>
      <c r="J28" s="67"/>
      <c r="K28" s="82"/>
      <c r="L28" s="82"/>
      <c r="M28" s="82"/>
      <c r="N28" s="82"/>
      <c r="O28" s="82"/>
      <c r="P28" s="82"/>
      <c r="Q28" s="82"/>
      <c r="R28" s="82"/>
      <c r="S28" s="82"/>
      <c r="T28" s="82"/>
      <c r="U28" s="82"/>
      <c r="V28" s="82"/>
      <c r="W28" s="83"/>
    </row>
    <row r="29" spans="2:23" x14ac:dyDescent="0.25">
      <c r="B29" s="81"/>
      <c r="C29" s="67"/>
      <c r="D29" s="67"/>
      <c r="E29" s="67"/>
      <c r="F29" s="67"/>
      <c r="G29" s="67"/>
      <c r="H29" s="67"/>
      <c r="I29" s="67"/>
      <c r="J29" s="67"/>
      <c r="K29" s="82"/>
      <c r="L29" s="82"/>
      <c r="M29" s="82"/>
      <c r="N29" s="82"/>
      <c r="O29" s="82"/>
      <c r="P29" s="82"/>
      <c r="Q29" s="82"/>
      <c r="R29" s="82"/>
      <c r="S29" s="82"/>
      <c r="T29" s="82"/>
      <c r="U29" s="82"/>
      <c r="V29" s="82"/>
      <c r="W29" s="83"/>
    </row>
    <row r="30" spans="2:23" x14ac:dyDescent="0.25">
      <c r="B30" s="81"/>
      <c r="C30" s="67"/>
      <c r="D30" s="67"/>
      <c r="E30" s="67"/>
      <c r="F30" s="67"/>
      <c r="G30" s="67"/>
      <c r="H30" s="67"/>
      <c r="I30" s="67"/>
      <c r="J30" s="67"/>
      <c r="K30" s="82"/>
      <c r="L30" s="82"/>
      <c r="M30" s="82"/>
      <c r="N30" s="82"/>
      <c r="O30" s="82"/>
      <c r="P30" s="82"/>
      <c r="Q30" s="82"/>
      <c r="R30" s="82"/>
      <c r="S30" s="82"/>
      <c r="T30" s="82"/>
      <c r="U30" s="82"/>
      <c r="V30" s="82"/>
      <c r="W30" s="83"/>
    </row>
    <row r="31" spans="2:23" x14ac:dyDescent="0.25">
      <c r="B31" s="81"/>
      <c r="C31" s="67"/>
      <c r="D31" s="67"/>
      <c r="E31" s="67"/>
      <c r="F31" s="67"/>
      <c r="G31" s="67"/>
      <c r="H31" s="67"/>
      <c r="I31" s="67"/>
      <c r="J31" s="67"/>
      <c r="K31" s="82"/>
      <c r="L31" s="82"/>
      <c r="M31" s="82"/>
      <c r="N31" s="82"/>
      <c r="O31" s="82"/>
      <c r="P31" s="82"/>
      <c r="Q31" s="82"/>
      <c r="R31" s="82"/>
      <c r="S31" s="82"/>
      <c r="T31" s="82"/>
      <c r="U31" s="82"/>
      <c r="V31" s="82"/>
      <c r="W31" s="83"/>
    </row>
    <row r="32" spans="2:23" x14ac:dyDescent="0.25">
      <c r="B32" s="81"/>
      <c r="C32" s="67"/>
      <c r="D32" s="67"/>
      <c r="E32" s="67"/>
      <c r="F32" s="67"/>
      <c r="G32" s="67"/>
      <c r="H32" s="67"/>
      <c r="I32" s="67"/>
      <c r="J32" s="67"/>
      <c r="K32" s="82"/>
      <c r="L32" s="82"/>
      <c r="M32" s="82"/>
      <c r="N32" s="82"/>
      <c r="O32" s="82"/>
      <c r="P32" s="82"/>
      <c r="Q32" s="82"/>
      <c r="R32" s="82"/>
      <c r="S32" s="82"/>
      <c r="T32" s="82"/>
      <c r="U32" s="82"/>
      <c r="V32" s="82"/>
      <c r="W32" s="83"/>
    </row>
    <row r="33" spans="2:23" x14ac:dyDescent="0.25">
      <c r="B33" s="81"/>
      <c r="C33" s="67"/>
      <c r="D33" s="67"/>
      <c r="E33" s="67"/>
      <c r="F33" s="67"/>
      <c r="G33" s="67"/>
      <c r="H33" s="67"/>
      <c r="I33" s="67"/>
      <c r="J33" s="67"/>
      <c r="K33" s="82"/>
      <c r="L33" s="82"/>
      <c r="M33" s="82"/>
      <c r="N33" s="82"/>
      <c r="O33" s="82"/>
      <c r="P33" s="82"/>
      <c r="Q33" s="82"/>
      <c r="R33" s="82"/>
      <c r="S33" s="82"/>
      <c r="T33" s="82"/>
      <c r="U33" s="82"/>
      <c r="V33" s="82"/>
      <c r="W33" s="83"/>
    </row>
    <row r="34" spans="2:23" x14ac:dyDescent="0.25">
      <c r="B34" s="81"/>
      <c r="C34" s="67"/>
      <c r="D34" s="67"/>
      <c r="E34" s="67"/>
      <c r="F34" s="67"/>
      <c r="G34" s="67"/>
      <c r="H34" s="67"/>
      <c r="I34" s="67"/>
      <c r="J34" s="67"/>
      <c r="K34" s="82"/>
      <c r="L34" s="82"/>
      <c r="M34" s="82"/>
      <c r="N34" s="82"/>
      <c r="O34" s="82"/>
      <c r="P34" s="82"/>
      <c r="Q34" s="82"/>
      <c r="R34" s="82"/>
      <c r="S34" s="82"/>
      <c r="T34" s="82"/>
      <c r="U34" s="82"/>
      <c r="V34" s="82"/>
      <c r="W34" s="83"/>
    </row>
    <row r="35" spans="2:23" x14ac:dyDescent="0.25">
      <c r="B35" s="81"/>
      <c r="C35" s="67"/>
      <c r="D35" s="67"/>
      <c r="E35" s="67"/>
      <c r="F35" s="67"/>
      <c r="G35" s="67"/>
      <c r="H35" s="67"/>
      <c r="I35" s="67"/>
      <c r="J35" s="67"/>
      <c r="K35" s="82"/>
      <c r="L35" s="82"/>
      <c r="M35" s="82"/>
      <c r="N35" s="82"/>
      <c r="O35" s="82"/>
      <c r="P35" s="82"/>
      <c r="Q35" s="82"/>
      <c r="R35" s="82"/>
      <c r="S35" s="82"/>
      <c r="T35" s="82"/>
      <c r="U35" s="82"/>
      <c r="V35" s="82"/>
      <c r="W35" s="83"/>
    </row>
    <row r="36" spans="2:23" x14ac:dyDescent="0.25">
      <c r="B36" s="81"/>
      <c r="C36" s="67"/>
      <c r="D36" s="67"/>
      <c r="E36" s="67"/>
      <c r="F36" s="67"/>
      <c r="G36" s="67"/>
      <c r="H36" s="67"/>
      <c r="I36" s="67"/>
      <c r="J36" s="67"/>
      <c r="K36" s="82"/>
      <c r="L36" s="82"/>
      <c r="M36" s="82"/>
      <c r="N36" s="82"/>
      <c r="O36" s="82"/>
      <c r="P36" s="82"/>
      <c r="Q36" s="82"/>
      <c r="R36" s="82"/>
      <c r="S36" s="82"/>
      <c r="T36" s="82"/>
      <c r="U36" s="82"/>
      <c r="V36" s="82"/>
      <c r="W36" s="83"/>
    </row>
    <row r="37" spans="2:23" x14ac:dyDescent="0.25">
      <c r="B37" s="81"/>
      <c r="C37" s="67"/>
      <c r="D37" s="67"/>
      <c r="E37" s="67"/>
      <c r="F37" s="67"/>
      <c r="G37" s="67"/>
      <c r="H37" s="67"/>
      <c r="I37" s="67"/>
      <c r="J37" s="67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83"/>
    </row>
    <row r="38" spans="2:23" x14ac:dyDescent="0.25">
      <c r="B38" s="84"/>
      <c r="C38" s="66"/>
      <c r="D38" s="66"/>
      <c r="E38" s="66"/>
      <c r="F38" s="66"/>
      <c r="G38" s="66"/>
      <c r="H38" s="66"/>
      <c r="I38" s="66"/>
      <c r="J38" s="66"/>
      <c r="K38" s="82"/>
      <c r="L38" s="82"/>
      <c r="M38" s="82"/>
      <c r="N38" s="82"/>
      <c r="O38" s="82"/>
      <c r="P38" s="82"/>
      <c r="Q38" s="82"/>
      <c r="R38" s="82"/>
      <c r="S38" s="82"/>
      <c r="T38" s="82"/>
      <c r="U38" s="82"/>
      <c r="V38" s="82"/>
      <c r="W38" s="83"/>
    </row>
    <row r="39" spans="2:23" x14ac:dyDescent="0.25">
      <c r="B39" s="84"/>
      <c r="C39" s="66"/>
      <c r="D39" s="66"/>
      <c r="E39" s="66"/>
      <c r="F39" s="66"/>
      <c r="G39" s="66"/>
      <c r="H39" s="66"/>
      <c r="I39" s="66"/>
      <c r="J39" s="66"/>
      <c r="K39" s="82"/>
      <c r="L39" s="82"/>
      <c r="M39" s="82"/>
      <c r="N39" s="82"/>
      <c r="O39" s="82"/>
      <c r="P39" s="82"/>
      <c r="Q39" s="82"/>
      <c r="R39" s="82"/>
      <c r="S39" s="82"/>
      <c r="T39" s="82"/>
      <c r="U39" s="82"/>
      <c r="V39" s="82"/>
      <c r="W39" s="83"/>
    </row>
    <row r="40" spans="2:23" x14ac:dyDescent="0.25">
      <c r="B40" s="84"/>
      <c r="C40" s="66"/>
      <c r="D40" s="66"/>
      <c r="E40" s="66"/>
      <c r="F40" s="66"/>
      <c r="G40" s="66"/>
      <c r="H40" s="66"/>
      <c r="I40" s="66"/>
      <c r="J40" s="66"/>
      <c r="K40" s="82"/>
      <c r="L40" s="82"/>
      <c r="M40" s="82"/>
      <c r="N40" s="82"/>
      <c r="O40" s="82"/>
      <c r="P40" s="82"/>
      <c r="Q40" s="82"/>
      <c r="R40" s="82"/>
      <c r="S40" s="82"/>
      <c r="T40" s="82"/>
      <c r="U40" s="82"/>
      <c r="V40" s="82"/>
      <c r="W40" s="83"/>
    </row>
    <row r="41" spans="2:23" x14ac:dyDescent="0.25">
      <c r="B41" s="84"/>
      <c r="C41" s="66"/>
      <c r="D41" s="66"/>
      <c r="E41" s="66"/>
      <c r="F41" s="66"/>
      <c r="G41" s="66"/>
      <c r="H41" s="66"/>
      <c r="I41" s="66"/>
      <c r="J41" s="66"/>
      <c r="K41" s="82"/>
      <c r="L41" s="82"/>
      <c r="M41" s="82"/>
      <c r="N41" s="82"/>
      <c r="O41" s="82"/>
      <c r="P41" s="82"/>
      <c r="Q41" s="82"/>
      <c r="R41" s="82"/>
      <c r="S41" s="82"/>
      <c r="T41" s="82"/>
      <c r="U41" s="82"/>
      <c r="V41" s="82"/>
      <c r="W41" s="83"/>
    </row>
    <row r="42" spans="2:23" x14ac:dyDescent="0.25">
      <c r="B42" s="84"/>
      <c r="C42" s="66"/>
      <c r="D42" s="66"/>
      <c r="E42" s="66"/>
      <c r="F42" s="66"/>
      <c r="G42" s="66"/>
      <c r="H42" s="66"/>
      <c r="I42" s="66"/>
      <c r="J42" s="66"/>
      <c r="K42" s="82"/>
      <c r="L42" s="82"/>
      <c r="M42" s="82"/>
      <c r="N42" s="82"/>
      <c r="O42" s="82"/>
      <c r="P42" s="82"/>
      <c r="Q42" s="82"/>
      <c r="R42" s="82"/>
      <c r="S42" s="82"/>
      <c r="T42" s="82"/>
      <c r="U42" s="82"/>
      <c r="V42" s="82"/>
      <c r="W42" s="83"/>
    </row>
    <row r="43" spans="2:23" x14ac:dyDescent="0.25">
      <c r="B43" s="84"/>
      <c r="C43" s="66"/>
      <c r="D43" s="66"/>
      <c r="E43" s="66"/>
      <c r="F43" s="66"/>
      <c r="G43" s="66"/>
      <c r="H43" s="66"/>
      <c r="I43" s="66"/>
      <c r="J43" s="66"/>
      <c r="K43" s="82"/>
      <c r="L43" s="82"/>
      <c r="M43" s="82"/>
      <c r="N43" s="82"/>
      <c r="O43" s="82"/>
      <c r="P43" s="82"/>
      <c r="Q43" s="82"/>
      <c r="R43" s="82"/>
      <c r="S43" s="82"/>
      <c r="T43" s="82"/>
      <c r="U43" s="82"/>
      <c r="V43" s="82"/>
      <c r="W43" s="83"/>
    </row>
    <row r="44" spans="2:23" x14ac:dyDescent="0.25">
      <c r="B44" s="84"/>
      <c r="C44" s="66"/>
      <c r="D44" s="66"/>
      <c r="E44" s="66"/>
      <c r="F44" s="66"/>
      <c r="G44" s="66"/>
      <c r="H44" s="66"/>
      <c r="I44" s="66"/>
      <c r="J44" s="66"/>
      <c r="K44" s="82"/>
      <c r="L44" s="82"/>
      <c r="M44" s="82"/>
      <c r="N44" s="82"/>
      <c r="O44" s="82"/>
      <c r="P44" s="82"/>
      <c r="Q44" s="82"/>
      <c r="R44" s="82"/>
      <c r="S44" s="82"/>
      <c r="T44" s="82"/>
      <c r="U44" s="82"/>
      <c r="V44" s="82"/>
      <c r="W44" s="83"/>
    </row>
    <row r="45" spans="2:23" x14ac:dyDescent="0.25">
      <c r="B45" s="84"/>
      <c r="C45" s="66"/>
      <c r="D45" s="66"/>
      <c r="E45" s="66"/>
      <c r="F45" s="66"/>
      <c r="G45" s="66"/>
      <c r="H45" s="66"/>
      <c r="I45" s="66"/>
      <c r="J45" s="66"/>
      <c r="K45" s="82"/>
      <c r="L45" s="82"/>
      <c r="M45" s="82"/>
      <c r="N45" s="82"/>
      <c r="O45" s="82"/>
      <c r="P45" s="82"/>
      <c r="Q45" s="82"/>
      <c r="R45" s="82"/>
      <c r="S45" s="82"/>
      <c r="T45" s="82"/>
      <c r="U45" s="82"/>
      <c r="V45" s="82"/>
      <c r="W45" s="83"/>
    </row>
    <row r="46" spans="2:23" x14ac:dyDescent="0.25">
      <c r="B46" s="84"/>
      <c r="C46" s="66"/>
      <c r="D46" s="66"/>
      <c r="E46" s="66"/>
      <c r="F46" s="66"/>
      <c r="G46" s="66"/>
      <c r="H46" s="66"/>
      <c r="I46" s="66"/>
      <c r="J46" s="66"/>
      <c r="K46" s="82"/>
      <c r="L46" s="82"/>
      <c r="M46" s="82"/>
      <c r="N46" s="82"/>
      <c r="O46" s="82"/>
      <c r="P46" s="82"/>
      <c r="Q46" s="82"/>
      <c r="R46" s="82"/>
      <c r="S46" s="82"/>
      <c r="T46" s="82"/>
      <c r="U46" s="82"/>
      <c r="V46" s="82"/>
      <c r="W46" s="83"/>
    </row>
    <row r="47" spans="2:23" x14ac:dyDescent="0.25">
      <c r="B47" s="84"/>
      <c r="C47" s="66"/>
      <c r="D47" s="66"/>
      <c r="E47" s="66"/>
      <c r="F47" s="66"/>
      <c r="G47" s="66"/>
      <c r="H47" s="66"/>
      <c r="I47" s="66"/>
      <c r="J47" s="66"/>
      <c r="K47" s="82"/>
      <c r="L47" s="82"/>
      <c r="M47" s="82"/>
      <c r="N47" s="82"/>
      <c r="O47" s="82"/>
      <c r="P47" s="82"/>
      <c r="Q47" s="82"/>
      <c r="R47" s="82"/>
      <c r="S47" s="82"/>
      <c r="T47" s="82"/>
      <c r="U47" s="82"/>
      <c r="V47" s="82"/>
      <c r="W47" s="83"/>
    </row>
    <row r="48" spans="2:23" x14ac:dyDescent="0.25">
      <c r="B48" s="84"/>
      <c r="C48" s="66"/>
      <c r="D48" s="66"/>
      <c r="E48" s="66"/>
      <c r="F48" s="66"/>
      <c r="G48" s="66"/>
      <c r="H48" s="66"/>
      <c r="I48" s="66"/>
      <c r="J48" s="66"/>
      <c r="K48" s="82"/>
      <c r="L48" s="82"/>
      <c r="M48" s="82"/>
      <c r="N48" s="82"/>
      <c r="O48" s="82"/>
      <c r="P48" s="82"/>
      <c r="Q48" s="82"/>
      <c r="R48" s="82"/>
      <c r="S48" s="82"/>
      <c r="T48" s="82"/>
      <c r="U48" s="82"/>
      <c r="V48" s="82"/>
      <c r="W48" s="83"/>
    </row>
    <row r="49" spans="2:23" ht="15.75" thickBot="1" x14ac:dyDescent="0.3">
      <c r="B49" s="85"/>
      <c r="C49" s="86"/>
      <c r="D49" s="86"/>
      <c r="E49" s="86"/>
      <c r="F49" s="86"/>
      <c r="G49" s="86"/>
      <c r="H49" s="86"/>
      <c r="I49" s="86"/>
      <c r="J49" s="86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  <c r="W49" s="88"/>
    </row>
    <row r="50" spans="2:23" ht="15.75" thickBot="1" x14ac:dyDescent="0.3"/>
    <row r="51" spans="2:23" x14ac:dyDescent="0.25">
      <c r="B51" s="89"/>
      <c r="C51" s="90"/>
      <c r="D51" s="90"/>
      <c r="E51" s="90"/>
      <c r="F51" s="90"/>
      <c r="G51" s="90"/>
      <c r="H51" s="90"/>
      <c r="I51" s="90"/>
      <c r="J51" s="90"/>
      <c r="K51" s="79"/>
      <c r="L51" s="79"/>
      <c r="M51" s="79"/>
      <c r="N51" s="79"/>
      <c r="O51" s="79"/>
      <c r="P51" s="79"/>
      <c r="Q51" s="79"/>
      <c r="R51" s="79"/>
      <c r="S51" s="79"/>
      <c r="T51" s="79"/>
      <c r="U51" s="79"/>
      <c r="V51" s="79"/>
      <c r="W51" s="80"/>
    </row>
    <row r="52" spans="2:23" x14ac:dyDescent="0.25">
      <c r="B52" s="84"/>
      <c r="C52" s="66"/>
      <c r="D52" s="66"/>
      <c r="E52" s="66"/>
      <c r="F52" s="66"/>
      <c r="G52" s="66"/>
      <c r="H52" s="66"/>
      <c r="I52" s="66"/>
      <c r="J52" s="66"/>
      <c r="K52" s="82"/>
      <c r="L52" s="82"/>
      <c r="M52" s="82"/>
      <c r="N52" s="82"/>
      <c r="O52" s="82"/>
      <c r="P52" s="82"/>
      <c r="Q52" s="82"/>
      <c r="R52" s="82"/>
      <c r="S52" s="82"/>
      <c r="T52" s="82"/>
      <c r="U52" s="82"/>
      <c r="V52" s="82"/>
      <c r="W52" s="83"/>
    </row>
    <row r="53" spans="2:23" x14ac:dyDescent="0.25">
      <c r="B53" s="84"/>
      <c r="C53" s="66"/>
      <c r="D53" s="66"/>
      <c r="E53" s="66"/>
      <c r="F53" s="66"/>
      <c r="G53" s="66"/>
      <c r="H53" s="66"/>
      <c r="I53" s="66"/>
      <c r="J53" s="66"/>
      <c r="K53" s="82"/>
      <c r="L53" s="82"/>
      <c r="M53" s="82"/>
      <c r="N53" s="82"/>
      <c r="O53" s="82"/>
      <c r="P53" s="82"/>
      <c r="Q53" s="82"/>
      <c r="R53" s="82"/>
      <c r="S53" s="82"/>
      <c r="T53" s="82"/>
      <c r="U53" s="82"/>
      <c r="V53" s="82"/>
      <c r="W53" s="83"/>
    </row>
    <row r="54" spans="2:23" x14ac:dyDescent="0.25">
      <c r="B54" s="84"/>
      <c r="C54" s="66"/>
      <c r="D54" s="66"/>
      <c r="E54" s="66"/>
      <c r="F54" s="66"/>
      <c r="G54" s="66"/>
      <c r="H54" s="66"/>
      <c r="I54" s="66"/>
      <c r="J54" s="66"/>
      <c r="K54" s="82"/>
      <c r="L54" s="82"/>
      <c r="M54" s="82"/>
      <c r="N54" s="82"/>
      <c r="O54" s="82"/>
      <c r="P54" s="82"/>
      <c r="Q54" s="82"/>
      <c r="R54" s="82"/>
      <c r="S54" s="82"/>
      <c r="T54" s="82"/>
      <c r="U54" s="82"/>
      <c r="V54" s="82"/>
      <c r="W54" s="83"/>
    </row>
    <row r="55" spans="2:23" x14ac:dyDescent="0.25">
      <c r="B55" s="84"/>
      <c r="C55" s="66"/>
      <c r="D55" s="66"/>
      <c r="E55" s="66"/>
      <c r="F55" s="66"/>
      <c r="G55" s="66"/>
      <c r="H55" s="66"/>
      <c r="I55" s="66"/>
      <c r="J55" s="66"/>
      <c r="K55" s="82"/>
      <c r="L55" s="82"/>
      <c r="M55" s="82"/>
      <c r="N55" s="82"/>
      <c r="O55" s="82"/>
      <c r="P55" s="82"/>
      <c r="Q55" s="82"/>
      <c r="R55" s="82"/>
      <c r="S55" s="82"/>
      <c r="T55" s="82"/>
      <c r="U55" s="82"/>
      <c r="V55" s="82"/>
      <c r="W55" s="83"/>
    </row>
    <row r="56" spans="2:23" x14ac:dyDescent="0.25">
      <c r="B56" s="84"/>
      <c r="C56" s="66"/>
      <c r="D56" s="66"/>
      <c r="E56" s="66"/>
      <c r="F56" s="66"/>
      <c r="G56" s="66"/>
      <c r="H56" s="66"/>
      <c r="I56" s="66"/>
      <c r="J56" s="66"/>
      <c r="K56" s="82"/>
      <c r="L56" s="82"/>
      <c r="M56" s="82"/>
      <c r="N56" s="82"/>
      <c r="O56" s="82"/>
      <c r="P56" s="82"/>
      <c r="Q56" s="82"/>
      <c r="R56" s="82"/>
      <c r="S56" s="82"/>
      <c r="T56" s="82"/>
      <c r="U56" s="82"/>
      <c r="V56" s="82"/>
      <c r="W56" s="83"/>
    </row>
    <row r="57" spans="2:23" x14ac:dyDescent="0.25">
      <c r="B57" s="84"/>
      <c r="C57" s="66"/>
      <c r="D57" s="66"/>
      <c r="E57" s="66"/>
      <c r="F57" s="66"/>
      <c r="G57" s="66"/>
      <c r="H57" s="66"/>
      <c r="I57" s="66"/>
      <c r="J57" s="66"/>
      <c r="K57" s="82"/>
      <c r="L57" s="82"/>
      <c r="M57" s="82"/>
      <c r="N57" s="82"/>
      <c r="O57" s="82"/>
      <c r="P57" s="82"/>
      <c r="Q57" s="82"/>
      <c r="R57" s="82"/>
      <c r="S57" s="82"/>
      <c r="T57" s="82"/>
      <c r="U57" s="82"/>
      <c r="V57" s="82"/>
      <c r="W57" s="83"/>
    </row>
    <row r="58" spans="2:23" x14ac:dyDescent="0.25">
      <c r="B58" s="84"/>
      <c r="C58" s="66"/>
      <c r="D58" s="66"/>
      <c r="E58" s="66"/>
      <c r="F58" s="66"/>
      <c r="G58" s="66"/>
      <c r="H58" s="66"/>
      <c r="I58" s="66"/>
      <c r="J58" s="66"/>
      <c r="K58" s="82"/>
      <c r="L58" s="82"/>
      <c r="M58" s="82"/>
      <c r="N58" s="82"/>
      <c r="O58" s="82"/>
      <c r="P58" s="82"/>
      <c r="Q58" s="82"/>
      <c r="R58" s="82"/>
      <c r="S58" s="82"/>
      <c r="T58" s="82"/>
      <c r="U58" s="82"/>
      <c r="V58" s="82"/>
      <c r="W58" s="83"/>
    </row>
    <row r="59" spans="2:23" x14ac:dyDescent="0.25">
      <c r="B59" s="84"/>
      <c r="C59" s="66"/>
      <c r="D59" s="66"/>
      <c r="E59" s="66"/>
      <c r="F59" s="66"/>
      <c r="G59" s="66"/>
      <c r="H59" s="66"/>
      <c r="I59" s="66"/>
      <c r="J59" s="66"/>
      <c r="K59" s="82"/>
      <c r="L59" s="82"/>
      <c r="M59" s="82"/>
      <c r="N59" s="82"/>
      <c r="O59" s="82"/>
      <c r="P59" s="82"/>
      <c r="Q59" s="82"/>
      <c r="R59" s="82"/>
      <c r="S59" s="82"/>
      <c r="T59" s="82"/>
      <c r="U59" s="82"/>
      <c r="V59" s="82"/>
      <c r="W59" s="83"/>
    </row>
    <row r="60" spans="2:23" x14ac:dyDescent="0.25">
      <c r="B60" s="84"/>
      <c r="C60" s="66"/>
      <c r="D60" s="66"/>
      <c r="E60" s="66"/>
      <c r="F60" s="66"/>
      <c r="G60" s="66"/>
      <c r="H60" s="66"/>
      <c r="I60" s="66"/>
      <c r="J60" s="66"/>
      <c r="K60" s="82"/>
      <c r="L60" s="82"/>
      <c r="M60" s="82"/>
      <c r="N60" s="82"/>
      <c r="O60" s="82"/>
      <c r="P60" s="82"/>
      <c r="Q60" s="82"/>
      <c r="R60" s="82"/>
      <c r="S60" s="82"/>
      <c r="T60" s="82"/>
      <c r="U60" s="82"/>
      <c r="V60" s="82"/>
      <c r="W60" s="83"/>
    </row>
    <row r="61" spans="2:23" x14ac:dyDescent="0.25">
      <c r="B61" s="84"/>
      <c r="C61" s="66"/>
      <c r="D61" s="66"/>
      <c r="E61" s="66"/>
      <c r="F61" s="66"/>
      <c r="G61" s="66"/>
      <c r="H61" s="66"/>
      <c r="I61" s="66"/>
      <c r="J61" s="66"/>
      <c r="K61" s="82"/>
      <c r="L61" s="82"/>
      <c r="M61" s="82"/>
      <c r="N61" s="82"/>
      <c r="O61" s="82"/>
      <c r="P61" s="82"/>
      <c r="Q61" s="82"/>
      <c r="R61" s="82"/>
      <c r="S61" s="82"/>
      <c r="T61" s="82"/>
      <c r="U61" s="82"/>
      <c r="V61" s="82"/>
      <c r="W61" s="83"/>
    </row>
    <row r="62" spans="2:23" x14ac:dyDescent="0.25">
      <c r="B62" s="84"/>
      <c r="C62" s="66"/>
      <c r="D62" s="66"/>
      <c r="E62" s="66"/>
      <c r="F62" s="66"/>
      <c r="G62" s="66"/>
      <c r="H62" s="66"/>
      <c r="I62" s="66"/>
      <c r="J62" s="66"/>
      <c r="K62" s="82"/>
      <c r="L62" s="82"/>
      <c r="M62" s="82"/>
      <c r="N62" s="82"/>
      <c r="O62" s="82"/>
      <c r="P62" s="82"/>
      <c r="Q62" s="82"/>
      <c r="R62" s="82"/>
      <c r="S62" s="82"/>
      <c r="T62" s="82"/>
      <c r="U62" s="82"/>
      <c r="V62" s="82"/>
      <c r="W62" s="83"/>
    </row>
    <row r="63" spans="2:23" x14ac:dyDescent="0.25">
      <c r="B63" s="84"/>
      <c r="C63" s="66"/>
      <c r="D63" s="66"/>
      <c r="E63" s="66"/>
      <c r="F63" s="66"/>
      <c r="G63" s="66"/>
      <c r="H63" s="66"/>
      <c r="I63" s="66"/>
      <c r="J63" s="66"/>
      <c r="K63" s="82"/>
      <c r="L63" s="82"/>
      <c r="M63" s="82"/>
      <c r="N63" s="82"/>
      <c r="O63" s="82"/>
      <c r="P63" s="82"/>
      <c r="Q63" s="82"/>
      <c r="R63" s="82"/>
      <c r="S63" s="82"/>
      <c r="T63" s="82"/>
      <c r="U63" s="82"/>
      <c r="V63" s="82"/>
      <c r="W63" s="83"/>
    </row>
    <row r="64" spans="2:23" x14ac:dyDescent="0.25">
      <c r="B64" s="84"/>
      <c r="C64" s="66"/>
      <c r="D64" s="66"/>
      <c r="E64" s="66"/>
      <c r="F64" s="66"/>
      <c r="G64" s="66"/>
      <c r="H64" s="66"/>
      <c r="I64" s="66"/>
      <c r="J64" s="66"/>
      <c r="K64" s="82"/>
      <c r="L64" s="82"/>
      <c r="M64" s="82"/>
      <c r="N64" s="82"/>
      <c r="O64" s="82"/>
      <c r="P64" s="82"/>
      <c r="Q64" s="82"/>
      <c r="R64" s="82"/>
      <c r="S64" s="82"/>
      <c r="T64" s="82"/>
      <c r="U64" s="82"/>
      <c r="V64" s="82"/>
      <c r="W64" s="83"/>
    </row>
    <row r="65" spans="2:23" x14ac:dyDescent="0.25">
      <c r="B65" s="84"/>
      <c r="C65" s="66"/>
      <c r="D65" s="66"/>
      <c r="E65" s="66"/>
      <c r="F65" s="66"/>
      <c r="G65" s="66"/>
      <c r="H65" s="66"/>
      <c r="I65" s="66"/>
      <c r="J65" s="66"/>
      <c r="K65" s="82"/>
      <c r="L65" s="82"/>
      <c r="M65" s="82"/>
      <c r="N65" s="82"/>
      <c r="O65" s="82"/>
      <c r="P65" s="82"/>
      <c r="Q65" s="82"/>
      <c r="R65" s="82"/>
      <c r="S65" s="82"/>
      <c r="T65" s="82"/>
      <c r="U65" s="82"/>
      <c r="V65" s="82"/>
      <c r="W65" s="83"/>
    </row>
    <row r="66" spans="2:23" x14ac:dyDescent="0.25">
      <c r="B66" s="84"/>
      <c r="C66" s="66"/>
      <c r="D66" s="66"/>
      <c r="E66" s="66"/>
      <c r="F66" s="66"/>
      <c r="G66" s="66"/>
      <c r="H66" s="66"/>
      <c r="I66" s="66"/>
      <c r="J66" s="66"/>
      <c r="K66" s="82"/>
      <c r="L66" s="82"/>
      <c r="M66" s="82"/>
      <c r="N66" s="82"/>
      <c r="O66" s="82"/>
      <c r="P66" s="82"/>
      <c r="Q66" s="82"/>
      <c r="R66" s="82"/>
      <c r="S66" s="82"/>
      <c r="T66" s="82"/>
      <c r="U66" s="82"/>
      <c r="V66" s="82"/>
      <c r="W66" s="83"/>
    </row>
    <row r="67" spans="2:23" x14ac:dyDescent="0.25">
      <c r="B67" s="84"/>
      <c r="C67" s="66"/>
      <c r="D67" s="66"/>
      <c r="E67" s="66"/>
      <c r="F67" s="66"/>
      <c r="G67" s="66"/>
      <c r="H67" s="66"/>
      <c r="I67" s="66"/>
      <c r="J67" s="66"/>
      <c r="K67" s="82"/>
      <c r="L67" s="82"/>
      <c r="M67" s="82"/>
      <c r="N67" s="82"/>
      <c r="O67" s="82"/>
      <c r="P67" s="82"/>
      <c r="Q67" s="82"/>
      <c r="R67" s="82"/>
      <c r="S67" s="82"/>
      <c r="T67" s="82"/>
      <c r="U67" s="82"/>
      <c r="V67" s="82"/>
      <c r="W67" s="83"/>
    </row>
    <row r="68" spans="2:23" x14ac:dyDescent="0.25">
      <c r="B68" s="84"/>
      <c r="C68" s="66"/>
      <c r="D68" s="66"/>
      <c r="E68" s="66"/>
      <c r="F68" s="66"/>
      <c r="G68" s="66"/>
      <c r="H68" s="66"/>
      <c r="I68" s="66"/>
      <c r="J68" s="66"/>
      <c r="K68" s="82"/>
      <c r="L68" s="82"/>
      <c r="M68" s="82"/>
      <c r="N68" s="82"/>
      <c r="O68" s="82"/>
      <c r="P68" s="82"/>
      <c r="Q68" s="82"/>
      <c r="R68" s="82"/>
      <c r="S68" s="82"/>
      <c r="T68" s="82"/>
      <c r="U68" s="82"/>
      <c r="V68" s="82"/>
      <c r="W68" s="83"/>
    </row>
    <row r="69" spans="2:23" x14ac:dyDescent="0.25">
      <c r="B69" s="84"/>
      <c r="C69" s="66"/>
      <c r="D69" s="66"/>
      <c r="E69" s="66"/>
      <c r="F69" s="66"/>
      <c r="G69" s="66"/>
      <c r="H69" s="66"/>
      <c r="I69" s="66"/>
      <c r="J69" s="66"/>
      <c r="K69" s="82"/>
      <c r="L69" s="82"/>
      <c r="M69" s="82"/>
      <c r="N69" s="82"/>
      <c r="O69" s="82"/>
      <c r="P69" s="82"/>
      <c r="Q69" s="82"/>
      <c r="R69" s="82"/>
      <c r="S69" s="82"/>
      <c r="T69" s="82"/>
      <c r="U69" s="82"/>
      <c r="V69" s="82"/>
      <c r="W69" s="83"/>
    </row>
    <row r="70" spans="2:23" x14ac:dyDescent="0.25">
      <c r="B70" s="84"/>
      <c r="C70" s="66"/>
      <c r="D70" s="66"/>
      <c r="E70" s="66"/>
      <c r="F70" s="66"/>
      <c r="G70" s="66"/>
      <c r="H70" s="66"/>
      <c r="I70" s="66"/>
      <c r="J70" s="66"/>
      <c r="K70" s="82"/>
      <c r="L70" s="82"/>
      <c r="M70" s="82"/>
      <c r="N70" s="82"/>
      <c r="O70" s="82"/>
      <c r="P70" s="82"/>
      <c r="Q70" s="82"/>
      <c r="R70" s="82"/>
      <c r="S70" s="82"/>
      <c r="T70" s="82"/>
      <c r="U70" s="82"/>
      <c r="V70" s="82"/>
      <c r="W70" s="83"/>
    </row>
    <row r="71" spans="2:23" x14ac:dyDescent="0.25">
      <c r="B71" s="84"/>
      <c r="C71" s="66"/>
      <c r="D71" s="66"/>
      <c r="E71" s="66"/>
      <c r="F71" s="66"/>
      <c r="G71" s="66"/>
      <c r="H71" s="66"/>
      <c r="I71" s="66"/>
      <c r="J71" s="66"/>
      <c r="K71" s="82"/>
      <c r="L71" s="82"/>
      <c r="M71" s="82"/>
      <c r="N71" s="82"/>
      <c r="O71" s="82"/>
      <c r="P71" s="82"/>
      <c r="Q71" s="82"/>
      <c r="R71" s="82"/>
      <c r="S71" s="82"/>
      <c r="T71" s="82"/>
      <c r="U71" s="82"/>
      <c r="V71" s="82"/>
      <c r="W71" s="83"/>
    </row>
    <row r="72" spans="2:23" x14ac:dyDescent="0.25">
      <c r="B72" s="84"/>
      <c r="C72" s="66"/>
      <c r="D72" s="66"/>
      <c r="E72" s="66"/>
      <c r="F72" s="66"/>
      <c r="G72" s="66"/>
      <c r="H72" s="66"/>
      <c r="I72" s="66"/>
      <c r="J72" s="66"/>
      <c r="K72" s="82"/>
      <c r="L72" s="82"/>
      <c r="M72" s="82"/>
      <c r="N72" s="82"/>
      <c r="O72" s="82"/>
      <c r="P72" s="82"/>
      <c r="Q72" s="82"/>
      <c r="R72" s="82"/>
      <c r="S72" s="82"/>
      <c r="T72" s="82"/>
      <c r="U72" s="82"/>
      <c r="V72" s="82"/>
      <c r="W72" s="83"/>
    </row>
    <row r="73" spans="2:23" x14ac:dyDescent="0.25">
      <c r="B73" s="84"/>
      <c r="C73" s="66"/>
      <c r="D73" s="66"/>
      <c r="E73" s="66"/>
      <c r="F73" s="66"/>
      <c r="G73" s="66"/>
      <c r="H73" s="66"/>
      <c r="I73" s="66"/>
      <c r="J73" s="66"/>
      <c r="K73" s="82"/>
      <c r="L73" s="82"/>
      <c r="M73" s="82"/>
      <c r="N73" s="82"/>
      <c r="O73" s="82"/>
      <c r="P73" s="82"/>
      <c r="Q73" s="82"/>
      <c r="R73" s="82"/>
      <c r="S73" s="82"/>
      <c r="T73" s="82"/>
      <c r="U73" s="82"/>
      <c r="V73" s="82"/>
      <c r="W73" s="83"/>
    </row>
    <row r="74" spans="2:23" x14ac:dyDescent="0.25">
      <c r="B74" s="84"/>
      <c r="C74" s="66"/>
      <c r="D74" s="66"/>
      <c r="E74" s="66"/>
      <c r="F74" s="66"/>
      <c r="G74" s="66"/>
      <c r="H74" s="66"/>
      <c r="I74" s="66"/>
      <c r="J74" s="66"/>
      <c r="K74" s="82"/>
      <c r="L74" s="82"/>
      <c r="M74" s="82"/>
      <c r="N74" s="82"/>
      <c r="O74" s="82"/>
      <c r="P74" s="82"/>
      <c r="Q74" s="82"/>
      <c r="R74" s="82"/>
      <c r="S74" s="82"/>
      <c r="T74" s="82"/>
      <c r="U74" s="82"/>
      <c r="V74" s="82"/>
      <c r="W74" s="83"/>
    </row>
    <row r="75" spans="2:23" x14ac:dyDescent="0.25">
      <c r="B75" s="84"/>
      <c r="C75" s="66"/>
      <c r="D75" s="66"/>
      <c r="E75" s="66"/>
      <c r="F75" s="66"/>
      <c r="G75" s="66"/>
      <c r="H75" s="66"/>
      <c r="I75" s="66"/>
      <c r="J75" s="66"/>
      <c r="K75" s="82"/>
      <c r="L75" s="82"/>
      <c r="M75" s="82"/>
      <c r="N75" s="82"/>
      <c r="O75" s="82"/>
      <c r="P75" s="82"/>
      <c r="Q75" s="82"/>
      <c r="R75" s="82"/>
      <c r="S75" s="82"/>
      <c r="T75" s="82"/>
      <c r="U75" s="82"/>
      <c r="V75" s="82"/>
      <c r="W75" s="83"/>
    </row>
    <row r="76" spans="2:23" x14ac:dyDescent="0.25">
      <c r="B76" s="84"/>
      <c r="C76" s="66"/>
      <c r="D76" s="66"/>
      <c r="E76" s="66"/>
      <c r="F76" s="66"/>
      <c r="G76" s="66"/>
      <c r="H76" s="66"/>
      <c r="I76" s="66"/>
      <c r="J76" s="66"/>
      <c r="K76" s="82"/>
      <c r="L76" s="82"/>
      <c r="M76" s="82"/>
      <c r="N76" s="82"/>
      <c r="O76" s="82"/>
      <c r="P76" s="82"/>
      <c r="Q76" s="82"/>
      <c r="R76" s="82"/>
      <c r="S76" s="82"/>
      <c r="T76" s="82"/>
      <c r="U76" s="82"/>
      <c r="V76" s="82"/>
      <c r="W76" s="83"/>
    </row>
    <row r="77" spans="2:23" x14ac:dyDescent="0.25">
      <c r="B77" s="84"/>
      <c r="C77" s="66"/>
      <c r="D77" s="66"/>
      <c r="E77" s="66"/>
      <c r="F77" s="66"/>
      <c r="G77" s="66"/>
      <c r="H77" s="66"/>
      <c r="I77" s="66"/>
      <c r="J77" s="66"/>
      <c r="K77" s="82"/>
      <c r="L77" s="82"/>
      <c r="M77" s="82"/>
      <c r="N77" s="82"/>
      <c r="O77" s="82"/>
      <c r="P77" s="82"/>
      <c r="Q77" s="82"/>
      <c r="R77" s="82"/>
      <c r="S77" s="82"/>
      <c r="T77" s="82"/>
      <c r="U77" s="82"/>
      <c r="V77" s="82"/>
      <c r="W77" s="83"/>
    </row>
    <row r="78" spans="2:23" x14ac:dyDescent="0.25">
      <c r="B78" s="84"/>
      <c r="C78" s="66"/>
      <c r="D78" s="66"/>
      <c r="E78" s="66"/>
      <c r="F78" s="66"/>
      <c r="G78" s="66"/>
      <c r="H78" s="66"/>
      <c r="I78" s="66"/>
      <c r="J78" s="66"/>
      <c r="K78" s="82"/>
      <c r="L78" s="82"/>
      <c r="M78" s="82"/>
      <c r="N78" s="82"/>
      <c r="O78" s="82"/>
      <c r="P78" s="82"/>
      <c r="Q78" s="82"/>
      <c r="R78" s="82"/>
      <c r="S78" s="82"/>
      <c r="T78" s="82"/>
      <c r="U78" s="82"/>
      <c r="V78" s="82"/>
      <c r="W78" s="83"/>
    </row>
    <row r="79" spans="2:23" x14ac:dyDescent="0.25">
      <c r="B79" s="84"/>
      <c r="C79" s="66"/>
      <c r="D79" s="66"/>
      <c r="E79" s="66"/>
      <c r="F79" s="66"/>
      <c r="G79" s="66"/>
      <c r="H79" s="66"/>
      <c r="I79" s="66"/>
      <c r="J79" s="66"/>
      <c r="K79" s="82"/>
      <c r="L79" s="82"/>
      <c r="M79" s="82"/>
      <c r="N79" s="82"/>
      <c r="O79" s="82"/>
      <c r="P79" s="82"/>
      <c r="Q79" s="82"/>
      <c r="R79" s="82"/>
      <c r="S79" s="82"/>
      <c r="T79" s="82"/>
      <c r="U79" s="82"/>
      <c r="V79" s="82"/>
      <c r="W79" s="83"/>
    </row>
    <row r="80" spans="2:23" x14ac:dyDescent="0.25">
      <c r="B80" s="84"/>
      <c r="C80" s="66"/>
      <c r="D80" s="66"/>
      <c r="E80" s="66"/>
      <c r="F80" s="66"/>
      <c r="G80" s="66"/>
      <c r="H80" s="66"/>
      <c r="I80" s="66"/>
      <c r="J80" s="66"/>
      <c r="K80" s="82"/>
      <c r="L80" s="82"/>
      <c r="M80" s="82"/>
      <c r="N80" s="82"/>
      <c r="O80" s="82"/>
      <c r="P80" s="82"/>
      <c r="Q80" s="82"/>
      <c r="R80" s="82"/>
      <c r="S80" s="82"/>
      <c r="T80" s="82"/>
      <c r="U80" s="82"/>
      <c r="V80" s="82"/>
      <c r="W80" s="83"/>
    </row>
    <row r="81" spans="2:23" ht="15.75" thickBot="1" x14ac:dyDescent="0.3">
      <c r="B81" s="85"/>
      <c r="C81" s="86"/>
      <c r="D81" s="86"/>
      <c r="E81" s="86"/>
      <c r="F81" s="86"/>
      <c r="G81" s="86"/>
      <c r="H81" s="86"/>
      <c r="I81" s="86"/>
      <c r="J81" s="86"/>
      <c r="K81" s="87"/>
      <c r="L81" s="87"/>
      <c r="M81" s="87"/>
      <c r="N81" s="87"/>
      <c r="O81" s="87"/>
      <c r="P81" s="87"/>
      <c r="Q81" s="87"/>
      <c r="R81" s="87"/>
      <c r="S81" s="87"/>
      <c r="T81" s="87"/>
      <c r="U81" s="87"/>
      <c r="V81" s="87"/>
      <c r="W81" s="88"/>
    </row>
    <row r="82" spans="2:23" ht="15.75" thickBot="1" x14ac:dyDescent="0.3"/>
    <row r="83" spans="2:23" x14ac:dyDescent="0.25">
      <c r="B83" s="89"/>
      <c r="C83" s="90"/>
      <c r="D83" s="90"/>
      <c r="E83" s="90"/>
      <c r="F83" s="90"/>
      <c r="G83" s="90"/>
      <c r="H83" s="90"/>
      <c r="I83" s="90"/>
      <c r="J83" s="90"/>
      <c r="K83" s="79"/>
      <c r="L83" s="79"/>
      <c r="M83" s="79"/>
      <c r="N83" s="79"/>
      <c r="O83" s="79"/>
      <c r="P83" s="79"/>
      <c r="Q83" s="79"/>
      <c r="R83" s="79"/>
      <c r="S83" s="79"/>
      <c r="T83" s="79"/>
      <c r="U83" s="79"/>
      <c r="V83" s="79"/>
      <c r="W83" s="80"/>
    </row>
    <row r="84" spans="2:23" x14ac:dyDescent="0.25">
      <c r="B84" s="84"/>
      <c r="C84" s="66"/>
      <c r="D84" s="66"/>
      <c r="E84" s="66"/>
      <c r="F84" s="66"/>
      <c r="G84" s="66"/>
      <c r="H84" s="66"/>
      <c r="I84" s="66"/>
      <c r="J84" s="66"/>
      <c r="K84" s="82"/>
      <c r="L84" s="82"/>
      <c r="M84" s="82"/>
      <c r="N84" s="82"/>
      <c r="O84" s="82"/>
      <c r="P84" s="82"/>
      <c r="Q84" s="82"/>
      <c r="R84" s="82"/>
      <c r="S84" s="82"/>
      <c r="T84" s="82"/>
      <c r="U84" s="82"/>
      <c r="V84" s="82"/>
      <c r="W84" s="83"/>
    </row>
    <row r="85" spans="2:23" x14ac:dyDescent="0.25">
      <c r="B85" s="84"/>
      <c r="C85" s="66"/>
      <c r="D85" s="66"/>
      <c r="E85" s="66"/>
      <c r="F85" s="66"/>
      <c r="G85" s="66"/>
      <c r="H85" s="66"/>
      <c r="I85" s="66"/>
      <c r="J85" s="66"/>
      <c r="K85" s="82"/>
      <c r="L85" s="82"/>
      <c r="M85" s="82"/>
      <c r="N85" s="82"/>
      <c r="O85" s="82"/>
      <c r="P85" s="82"/>
      <c r="Q85" s="82"/>
      <c r="R85" s="82"/>
      <c r="S85" s="82"/>
      <c r="T85" s="82"/>
      <c r="U85" s="82"/>
      <c r="V85" s="82"/>
      <c r="W85" s="83"/>
    </row>
    <row r="86" spans="2:23" x14ac:dyDescent="0.25">
      <c r="B86" s="84"/>
      <c r="C86" s="66"/>
      <c r="D86" s="66"/>
      <c r="E86" s="66"/>
      <c r="F86" s="66"/>
      <c r="G86" s="66"/>
      <c r="H86" s="66"/>
      <c r="I86" s="66"/>
      <c r="J86" s="66"/>
      <c r="K86" s="82"/>
      <c r="L86" s="82"/>
      <c r="M86" s="82"/>
      <c r="N86" s="82"/>
      <c r="O86" s="82"/>
      <c r="P86" s="82"/>
      <c r="Q86" s="82"/>
      <c r="R86" s="82"/>
      <c r="S86" s="82"/>
      <c r="T86" s="82"/>
      <c r="U86" s="82"/>
      <c r="V86" s="82"/>
      <c r="W86" s="83"/>
    </row>
    <row r="87" spans="2:23" x14ac:dyDescent="0.25">
      <c r="B87" s="84"/>
      <c r="C87" s="66"/>
      <c r="D87" s="66"/>
      <c r="E87" s="66"/>
      <c r="F87" s="66"/>
      <c r="G87" s="66"/>
      <c r="H87" s="66"/>
      <c r="I87" s="66"/>
      <c r="J87" s="66"/>
      <c r="K87" s="82"/>
      <c r="L87" s="82"/>
      <c r="M87" s="82"/>
      <c r="N87" s="82"/>
      <c r="O87" s="82"/>
      <c r="P87" s="82"/>
      <c r="Q87" s="82"/>
      <c r="R87" s="82"/>
      <c r="S87" s="82"/>
      <c r="T87" s="82"/>
      <c r="U87" s="82"/>
      <c r="V87" s="82"/>
      <c r="W87" s="83"/>
    </row>
    <row r="88" spans="2:23" x14ac:dyDescent="0.25">
      <c r="B88" s="84"/>
      <c r="C88" s="66"/>
      <c r="D88" s="66"/>
      <c r="E88" s="66"/>
      <c r="F88" s="66"/>
      <c r="G88" s="66"/>
      <c r="H88" s="66"/>
      <c r="I88" s="66"/>
      <c r="J88" s="66"/>
      <c r="K88" s="82"/>
      <c r="L88" s="82"/>
      <c r="M88" s="82"/>
      <c r="N88" s="82"/>
      <c r="O88" s="82"/>
      <c r="P88" s="82"/>
      <c r="Q88" s="82"/>
      <c r="R88" s="82"/>
      <c r="S88" s="82"/>
      <c r="T88" s="82"/>
      <c r="U88" s="82"/>
      <c r="V88" s="82"/>
      <c r="W88" s="83"/>
    </row>
    <row r="89" spans="2:23" x14ac:dyDescent="0.25">
      <c r="B89" s="84"/>
      <c r="C89" s="66"/>
      <c r="D89" s="66"/>
      <c r="E89" s="66"/>
      <c r="F89" s="66"/>
      <c r="G89" s="66"/>
      <c r="H89" s="66"/>
      <c r="I89" s="66"/>
      <c r="J89" s="66"/>
      <c r="K89" s="82"/>
      <c r="L89" s="82"/>
      <c r="M89" s="82"/>
      <c r="N89" s="82"/>
      <c r="O89" s="82"/>
      <c r="P89" s="82"/>
      <c r="Q89" s="82"/>
      <c r="R89" s="82"/>
      <c r="S89" s="82"/>
      <c r="T89" s="82"/>
      <c r="U89" s="82"/>
      <c r="V89" s="82"/>
      <c r="W89" s="83"/>
    </row>
    <row r="90" spans="2:23" x14ac:dyDescent="0.25">
      <c r="B90" s="84"/>
      <c r="C90" s="66"/>
      <c r="D90" s="66"/>
      <c r="E90" s="66"/>
      <c r="F90" s="66"/>
      <c r="G90" s="66"/>
      <c r="H90" s="66"/>
      <c r="I90" s="66"/>
      <c r="J90" s="66"/>
      <c r="K90" s="82"/>
      <c r="L90" s="82"/>
      <c r="M90" s="82"/>
      <c r="N90" s="82"/>
      <c r="O90" s="82"/>
      <c r="P90" s="82"/>
      <c r="Q90" s="82"/>
      <c r="R90" s="82"/>
      <c r="S90" s="82"/>
      <c r="T90" s="82"/>
      <c r="U90" s="82"/>
      <c r="V90" s="82"/>
      <c r="W90" s="83"/>
    </row>
    <row r="91" spans="2:23" x14ac:dyDescent="0.25">
      <c r="B91" s="84"/>
      <c r="C91" s="66"/>
      <c r="D91" s="66"/>
      <c r="E91" s="66"/>
      <c r="F91" s="66"/>
      <c r="G91" s="66"/>
      <c r="H91" s="66"/>
      <c r="I91" s="66"/>
      <c r="J91" s="66"/>
      <c r="K91" s="82"/>
      <c r="L91" s="82"/>
      <c r="M91" s="82"/>
      <c r="N91" s="82"/>
      <c r="O91" s="82"/>
      <c r="P91" s="82"/>
      <c r="Q91" s="82"/>
      <c r="R91" s="82"/>
      <c r="S91" s="82"/>
      <c r="T91" s="82"/>
      <c r="U91" s="82"/>
      <c r="V91" s="82"/>
      <c r="W91" s="83"/>
    </row>
    <row r="92" spans="2:23" x14ac:dyDescent="0.25">
      <c r="B92" s="84"/>
      <c r="C92" s="66"/>
      <c r="D92" s="66"/>
      <c r="E92" s="66"/>
      <c r="F92" s="66"/>
      <c r="G92" s="66"/>
      <c r="H92" s="66"/>
      <c r="I92" s="66"/>
      <c r="J92" s="66"/>
      <c r="K92" s="82"/>
      <c r="L92" s="82"/>
      <c r="M92" s="82"/>
      <c r="N92" s="82"/>
      <c r="O92" s="82"/>
      <c r="P92" s="82"/>
      <c r="Q92" s="82"/>
      <c r="R92" s="82"/>
      <c r="S92" s="82"/>
      <c r="T92" s="82"/>
      <c r="U92" s="82"/>
      <c r="V92" s="82"/>
      <c r="W92" s="83"/>
    </row>
    <row r="93" spans="2:23" x14ac:dyDescent="0.25">
      <c r="B93" s="84"/>
      <c r="C93" s="66"/>
      <c r="D93" s="66"/>
      <c r="E93" s="66"/>
      <c r="F93" s="66"/>
      <c r="G93" s="66"/>
      <c r="H93" s="66"/>
      <c r="I93" s="66"/>
      <c r="J93" s="66"/>
      <c r="K93" s="82"/>
      <c r="L93" s="82"/>
      <c r="M93" s="82"/>
      <c r="N93" s="82"/>
      <c r="O93" s="82"/>
      <c r="P93" s="82"/>
      <c r="Q93" s="82"/>
      <c r="R93" s="82"/>
      <c r="S93" s="82"/>
      <c r="T93" s="82"/>
      <c r="U93" s="82"/>
      <c r="V93" s="82"/>
      <c r="W93" s="83"/>
    </row>
    <row r="94" spans="2:23" x14ac:dyDescent="0.25">
      <c r="B94" s="84"/>
      <c r="C94" s="66"/>
      <c r="D94" s="66"/>
      <c r="E94" s="66"/>
      <c r="F94" s="66"/>
      <c r="G94" s="66"/>
      <c r="H94" s="66"/>
      <c r="I94" s="66"/>
      <c r="J94" s="66"/>
      <c r="K94" s="82"/>
      <c r="L94" s="82"/>
      <c r="M94" s="82"/>
      <c r="N94" s="82"/>
      <c r="O94" s="82"/>
      <c r="P94" s="82"/>
      <c r="Q94" s="82"/>
      <c r="R94" s="82"/>
      <c r="S94" s="82"/>
      <c r="T94" s="82"/>
      <c r="U94" s="82"/>
      <c r="V94" s="82"/>
      <c r="W94" s="83"/>
    </row>
    <row r="95" spans="2:23" x14ac:dyDescent="0.25">
      <c r="B95" s="84"/>
      <c r="C95" s="66"/>
      <c r="D95" s="66"/>
      <c r="E95" s="66"/>
      <c r="F95" s="66"/>
      <c r="G95" s="66"/>
      <c r="H95" s="66"/>
      <c r="I95" s="66"/>
      <c r="J95" s="66"/>
      <c r="K95" s="82"/>
      <c r="L95" s="82"/>
      <c r="M95" s="82"/>
      <c r="N95" s="82"/>
      <c r="O95" s="82"/>
      <c r="P95" s="82"/>
      <c r="Q95" s="82"/>
      <c r="R95" s="82"/>
      <c r="S95" s="82"/>
      <c r="T95" s="82"/>
      <c r="U95" s="82"/>
      <c r="V95" s="82"/>
      <c r="W95" s="83"/>
    </row>
    <row r="96" spans="2:23" x14ac:dyDescent="0.25">
      <c r="B96" s="84"/>
      <c r="C96" s="66"/>
      <c r="D96" s="66"/>
      <c r="E96" s="66"/>
      <c r="F96" s="66"/>
      <c r="G96" s="66"/>
      <c r="H96" s="66"/>
      <c r="I96" s="66"/>
      <c r="J96" s="66"/>
      <c r="K96" s="82"/>
      <c r="L96" s="82"/>
      <c r="M96" s="82"/>
      <c r="N96" s="82"/>
      <c r="O96" s="82"/>
      <c r="P96" s="82"/>
      <c r="Q96" s="82"/>
      <c r="R96" s="82"/>
      <c r="S96" s="82"/>
      <c r="T96" s="82"/>
      <c r="U96" s="82"/>
      <c r="V96" s="82"/>
      <c r="W96" s="83"/>
    </row>
    <row r="97" spans="2:23" x14ac:dyDescent="0.25">
      <c r="B97" s="84"/>
      <c r="C97" s="66"/>
      <c r="D97" s="66"/>
      <c r="E97" s="66"/>
      <c r="F97" s="66"/>
      <c r="G97" s="66"/>
      <c r="H97" s="66"/>
      <c r="I97" s="66"/>
      <c r="J97" s="66"/>
      <c r="K97" s="82"/>
      <c r="L97" s="82"/>
      <c r="M97" s="82"/>
      <c r="N97" s="82"/>
      <c r="O97" s="82"/>
      <c r="P97" s="82"/>
      <c r="Q97" s="82"/>
      <c r="R97" s="82"/>
      <c r="S97" s="82"/>
      <c r="T97" s="82"/>
      <c r="U97" s="82"/>
      <c r="V97" s="82"/>
      <c r="W97" s="83"/>
    </row>
    <row r="98" spans="2:23" x14ac:dyDescent="0.25">
      <c r="B98" s="84"/>
      <c r="C98" s="66"/>
      <c r="D98" s="66"/>
      <c r="E98" s="66"/>
      <c r="F98" s="66"/>
      <c r="G98" s="66"/>
      <c r="H98" s="66"/>
      <c r="I98" s="66"/>
      <c r="J98" s="66"/>
      <c r="K98" s="82"/>
      <c r="L98" s="82"/>
      <c r="M98" s="82"/>
      <c r="N98" s="82"/>
      <c r="O98" s="82"/>
      <c r="P98" s="82"/>
      <c r="Q98" s="82"/>
      <c r="R98" s="82"/>
      <c r="S98" s="82"/>
      <c r="T98" s="82"/>
      <c r="U98" s="82"/>
      <c r="V98" s="82"/>
      <c r="W98" s="83"/>
    </row>
    <row r="99" spans="2:23" x14ac:dyDescent="0.25">
      <c r="B99" s="84"/>
      <c r="C99" s="66"/>
      <c r="D99" s="66"/>
      <c r="E99" s="66"/>
      <c r="F99" s="66"/>
      <c r="G99" s="66"/>
      <c r="H99" s="66"/>
      <c r="I99" s="66"/>
      <c r="J99" s="66"/>
      <c r="K99" s="82"/>
      <c r="L99" s="82"/>
      <c r="M99" s="82"/>
      <c r="N99" s="82"/>
      <c r="O99" s="82"/>
      <c r="P99" s="82"/>
      <c r="Q99" s="82"/>
      <c r="R99" s="82"/>
      <c r="S99" s="82"/>
      <c r="T99" s="82"/>
      <c r="U99" s="82"/>
      <c r="V99" s="82"/>
      <c r="W99" s="83"/>
    </row>
    <row r="100" spans="2:23" x14ac:dyDescent="0.25">
      <c r="B100" s="84"/>
      <c r="C100" s="66"/>
      <c r="D100" s="66"/>
      <c r="E100" s="66"/>
      <c r="F100" s="66"/>
      <c r="G100" s="66"/>
      <c r="H100" s="66"/>
      <c r="I100" s="66"/>
      <c r="J100" s="66"/>
      <c r="K100" s="82"/>
      <c r="L100" s="82"/>
      <c r="M100" s="82"/>
      <c r="N100" s="82"/>
      <c r="O100" s="82"/>
      <c r="P100" s="82"/>
      <c r="Q100" s="82"/>
      <c r="R100" s="82"/>
      <c r="S100" s="82"/>
      <c r="T100" s="82"/>
      <c r="U100" s="82"/>
      <c r="V100" s="82"/>
      <c r="W100" s="83"/>
    </row>
    <row r="101" spans="2:23" x14ac:dyDescent="0.25">
      <c r="B101" s="84"/>
      <c r="C101" s="66"/>
      <c r="D101" s="66"/>
      <c r="E101" s="66"/>
      <c r="F101" s="66"/>
      <c r="G101" s="66"/>
      <c r="H101" s="66"/>
      <c r="I101" s="66"/>
      <c r="J101" s="66"/>
      <c r="K101" s="82"/>
      <c r="L101" s="82"/>
      <c r="M101" s="82"/>
      <c r="N101" s="82"/>
      <c r="O101" s="82"/>
      <c r="P101" s="82"/>
      <c r="Q101" s="82"/>
      <c r="R101" s="82"/>
      <c r="S101" s="82"/>
      <c r="T101" s="82"/>
      <c r="U101" s="82"/>
      <c r="V101" s="82"/>
      <c r="W101" s="83"/>
    </row>
    <row r="102" spans="2:23" x14ac:dyDescent="0.25">
      <c r="B102" s="84"/>
      <c r="C102" s="66"/>
      <c r="D102" s="66"/>
      <c r="E102" s="66"/>
      <c r="F102" s="66"/>
      <c r="G102" s="66"/>
      <c r="H102" s="66"/>
      <c r="I102" s="66"/>
      <c r="J102" s="66"/>
      <c r="K102" s="82"/>
      <c r="L102" s="82"/>
      <c r="M102" s="82"/>
      <c r="N102" s="82"/>
      <c r="O102" s="82"/>
      <c r="P102" s="82"/>
      <c r="Q102" s="82"/>
      <c r="R102" s="82"/>
      <c r="S102" s="82"/>
      <c r="T102" s="82"/>
      <c r="U102" s="82"/>
      <c r="V102" s="82"/>
      <c r="W102" s="83"/>
    </row>
    <row r="103" spans="2:23" x14ac:dyDescent="0.25">
      <c r="B103" s="84"/>
      <c r="C103" s="66"/>
      <c r="D103" s="66"/>
      <c r="E103" s="66"/>
      <c r="F103" s="66"/>
      <c r="G103" s="66"/>
      <c r="H103" s="66"/>
      <c r="I103" s="66"/>
      <c r="J103" s="66"/>
      <c r="K103" s="82"/>
      <c r="L103" s="82"/>
      <c r="M103" s="82"/>
      <c r="N103" s="82"/>
      <c r="O103" s="82"/>
      <c r="P103" s="82"/>
      <c r="Q103" s="82"/>
      <c r="R103" s="82"/>
      <c r="S103" s="82"/>
      <c r="T103" s="82"/>
      <c r="U103" s="82"/>
      <c r="V103" s="82"/>
      <c r="W103" s="83"/>
    </row>
    <row r="104" spans="2:23" x14ac:dyDescent="0.25">
      <c r="B104" s="84"/>
      <c r="C104" s="66"/>
      <c r="D104" s="66"/>
      <c r="E104" s="66"/>
      <c r="F104" s="66"/>
      <c r="G104" s="66"/>
      <c r="H104" s="66"/>
      <c r="I104" s="66"/>
      <c r="J104" s="66"/>
      <c r="K104" s="82"/>
      <c r="L104" s="82"/>
      <c r="M104" s="82"/>
      <c r="N104" s="82"/>
      <c r="O104" s="82"/>
      <c r="P104" s="82"/>
      <c r="Q104" s="82"/>
      <c r="R104" s="82"/>
      <c r="S104" s="82"/>
      <c r="T104" s="82"/>
      <c r="U104" s="82"/>
      <c r="V104" s="82"/>
      <c r="W104" s="83"/>
    </row>
    <row r="105" spans="2:23" x14ac:dyDescent="0.25">
      <c r="B105" s="84"/>
      <c r="C105" s="66"/>
      <c r="D105" s="66"/>
      <c r="E105" s="66"/>
      <c r="F105" s="66"/>
      <c r="G105" s="66"/>
      <c r="H105" s="66"/>
      <c r="I105" s="66"/>
      <c r="J105" s="66"/>
      <c r="K105" s="82"/>
      <c r="L105" s="82"/>
      <c r="M105" s="82"/>
      <c r="N105" s="82"/>
      <c r="O105" s="82"/>
      <c r="P105" s="82"/>
      <c r="Q105" s="82"/>
      <c r="R105" s="82"/>
      <c r="S105" s="82"/>
      <c r="T105" s="82"/>
      <c r="U105" s="82"/>
      <c r="V105" s="82"/>
      <c r="W105" s="83"/>
    </row>
    <row r="106" spans="2:23" x14ac:dyDescent="0.25">
      <c r="B106" s="84"/>
      <c r="C106" s="66"/>
      <c r="D106" s="66"/>
      <c r="E106" s="66"/>
      <c r="F106" s="66"/>
      <c r="G106" s="66"/>
      <c r="H106" s="66"/>
      <c r="I106" s="66"/>
      <c r="J106" s="66"/>
      <c r="K106" s="82"/>
      <c r="L106" s="82"/>
      <c r="M106" s="82"/>
      <c r="N106" s="82"/>
      <c r="O106" s="82"/>
      <c r="P106" s="82"/>
      <c r="Q106" s="82"/>
      <c r="R106" s="82"/>
      <c r="S106" s="82"/>
      <c r="T106" s="82"/>
      <c r="U106" s="82"/>
      <c r="V106" s="82"/>
      <c r="W106" s="83"/>
    </row>
    <row r="107" spans="2:23" x14ac:dyDescent="0.25">
      <c r="B107" s="84"/>
      <c r="C107" s="66"/>
      <c r="D107" s="66"/>
      <c r="E107" s="66"/>
      <c r="F107" s="66"/>
      <c r="G107" s="66"/>
      <c r="H107" s="66"/>
      <c r="I107" s="66"/>
      <c r="J107" s="66"/>
      <c r="K107" s="82"/>
      <c r="L107" s="82"/>
      <c r="M107" s="82"/>
      <c r="N107" s="82"/>
      <c r="O107" s="82"/>
      <c r="P107" s="82"/>
      <c r="Q107" s="82"/>
      <c r="R107" s="82"/>
      <c r="S107" s="82"/>
      <c r="T107" s="82"/>
      <c r="U107" s="82"/>
      <c r="V107" s="82"/>
      <c r="W107" s="83"/>
    </row>
    <row r="108" spans="2:23" x14ac:dyDescent="0.25">
      <c r="B108" s="84"/>
      <c r="C108" s="66"/>
      <c r="D108" s="66"/>
      <c r="E108" s="66"/>
      <c r="F108" s="66"/>
      <c r="G108" s="66"/>
      <c r="H108" s="66"/>
      <c r="I108" s="66"/>
      <c r="J108" s="66"/>
      <c r="K108" s="82"/>
      <c r="L108" s="82"/>
      <c r="M108" s="82"/>
      <c r="N108" s="82"/>
      <c r="O108" s="82"/>
      <c r="P108" s="82"/>
      <c r="Q108" s="82"/>
      <c r="R108" s="82"/>
      <c r="S108" s="82"/>
      <c r="T108" s="82"/>
      <c r="U108" s="82"/>
      <c r="V108" s="82"/>
      <c r="W108" s="83"/>
    </row>
    <row r="109" spans="2:23" x14ac:dyDescent="0.25">
      <c r="B109" s="84"/>
      <c r="C109" s="66"/>
      <c r="D109" s="66"/>
      <c r="E109" s="66"/>
      <c r="F109" s="66"/>
      <c r="G109" s="66"/>
      <c r="H109" s="66"/>
      <c r="I109" s="66"/>
      <c r="J109" s="66"/>
      <c r="K109" s="82"/>
      <c r="L109" s="82"/>
      <c r="M109" s="82"/>
      <c r="N109" s="82"/>
      <c r="O109" s="82"/>
      <c r="P109" s="82"/>
      <c r="Q109" s="82"/>
      <c r="R109" s="82"/>
      <c r="S109" s="82"/>
      <c r="T109" s="82"/>
      <c r="U109" s="82"/>
      <c r="V109" s="82"/>
      <c r="W109" s="83"/>
    </row>
    <row r="110" spans="2:23" x14ac:dyDescent="0.25">
      <c r="B110" s="84"/>
      <c r="C110" s="66"/>
      <c r="D110" s="66"/>
      <c r="E110" s="66"/>
      <c r="F110" s="66"/>
      <c r="G110" s="66"/>
      <c r="H110" s="66"/>
      <c r="I110" s="66"/>
      <c r="J110" s="66"/>
      <c r="K110" s="82"/>
      <c r="L110" s="82"/>
      <c r="M110" s="82"/>
      <c r="N110" s="82"/>
      <c r="O110" s="82"/>
      <c r="P110" s="82"/>
      <c r="Q110" s="82"/>
      <c r="R110" s="82"/>
      <c r="S110" s="82"/>
      <c r="T110" s="82"/>
      <c r="U110" s="82"/>
      <c r="V110" s="82"/>
      <c r="W110" s="83"/>
    </row>
    <row r="111" spans="2:23" x14ac:dyDescent="0.25">
      <c r="B111" s="84"/>
      <c r="C111" s="66"/>
      <c r="D111" s="66"/>
      <c r="E111" s="66"/>
      <c r="F111" s="66"/>
      <c r="G111" s="66"/>
      <c r="H111" s="66"/>
      <c r="I111" s="66"/>
      <c r="J111" s="66"/>
      <c r="K111" s="82"/>
      <c r="L111" s="82"/>
      <c r="M111" s="82"/>
      <c r="N111" s="82"/>
      <c r="O111" s="82"/>
      <c r="P111" s="82"/>
      <c r="Q111" s="82"/>
      <c r="R111" s="82"/>
      <c r="S111" s="82"/>
      <c r="T111" s="82"/>
      <c r="U111" s="82"/>
      <c r="V111" s="82"/>
      <c r="W111" s="83"/>
    </row>
    <row r="112" spans="2:23" x14ac:dyDescent="0.25">
      <c r="B112" s="84"/>
      <c r="C112" s="66"/>
      <c r="D112" s="66"/>
      <c r="E112" s="66"/>
      <c r="F112" s="66"/>
      <c r="G112" s="66"/>
      <c r="H112" s="66"/>
      <c r="I112" s="66"/>
      <c r="J112" s="66"/>
      <c r="K112" s="82"/>
      <c r="L112" s="82"/>
      <c r="M112" s="82"/>
      <c r="N112" s="82"/>
      <c r="O112" s="82"/>
      <c r="P112" s="82"/>
      <c r="Q112" s="82"/>
      <c r="R112" s="82"/>
      <c r="S112" s="82"/>
      <c r="T112" s="82"/>
      <c r="U112" s="82"/>
      <c r="V112" s="82"/>
      <c r="W112" s="83"/>
    </row>
    <row r="113" spans="2:23" ht="15.75" thickBot="1" x14ac:dyDescent="0.3">
      <c r="B113" s="85"/>
      <c r="C113" s="86"/>
      <c r="D113" s="86"/>
      <c r="E113" s="86"/>
      <c r="F113" s="86"/>
      <c r="G113" s="86"/>
      <c r="H113" s="86"/>
      <c r="I113" s="86"/>
      <c r="J113" s="86"/>
      <c r="K113" s="87"/>
      <c r="L113" s="87"/>
      <c r="M113" s="87"/>
      <c r="N113" s="87"/>
      <c r="O113" s="87"/>
      <c r="P113" s="87"/>
      <c r="Q113" s="87"/>
      <c r="R113" s="87"/>
      <c r="S113" s="87"/>
      <c r="T113" s="87"/>
      <c r="U113" s="87"/>
      <c r="V113" s="87"/>
      <c r="W113" s="88"/>
    </row>
    <row r="114" spans="2:23" ht="15.75" thickBot="1" x14ac:dyDescent="0.3"/>
    <row r="115" spans="2:23" x14ac:dyDescent="0.25">
      <c r="B115" s="89"/>
      <c r="C115" s="90"/>
      <c r="D115" s="90"/>
      <c r="E115" s="90"/>
      <c r="F115" s="90"/>
      <c r="G115" s="90"/>
      <c r="H115" s="90"/>
      <c r="I115" s="90"/>
      <c r="J115" s="90"/>
      <c r="K115" s="79"/>
      <c r="L115" s="79"/>
      <c r="M115" s="79"/>
      <c r="N115" s="79"/>
      <c r="O115" s="79"/>
      <c r="P115" s="79"/>
      <c r="Q115" s="79"/>
      <c r="R115" s="79"/>
      <c r="S115" s="79"/>
      <c r="T115" s="79"/>
      <c r="U115" s="79"/>
      <c r="V115" s="79"/>
      <c r="W115" s="80"/>
    </row>
    <row r="116" spans="2:23" x14ac:dyDescent="0.25">
      <c r="B116" s="84"/>
      <c r="C116" s="66"/>
      <c r="D116" s="66"/>
      <c r="E116" s="66"/>
      <c r="F116" s="66"/>
      <c r="G116" s="66"/>
      <c r="H116" s="66"/>
      <c r="I116" s="66"/>
      <c r="J116" s="66"/>
      <c r="K116" s="82"/>
      <c r="L116" s="82"/>
      <c r="M116" s="82"/>
      <c r="N116" s="82"/>
      <c r="O116" s="82"/>
      <c r="P116" s="82"/>
      <c r="Q116" s="82"/>
      <c r="R116" s="82"/>
      <c r="S116" s="82"/>
      <c r="T116" s="82"/>
      <c r="U116" s="82"/>
      <c r="V116" s="82"/>
      <c r="W116" s="83"/>
    </row>
    <row r="117" spans="2:23" x14ac:dyDescent="0.25">
      <c r="B117" s="84"/>
      <c r="C117" s="66"/>
      <c r="D117" s="66"/>
      <c r="E117" s="66"/>
      <c r="F117" s="66"/>
      <c r="G117" s="66"/>
      <c r="H117" s="66"/>
      <c r="I117" s="66"/>
      <c r="J117" s="66"/>
      <c r="K117" s="82"/>
      <c r="L117" s="82"/>
      <c r="M117" s="82"/>
      <c r="N117" s="82"/>
      <c r="O117" s="82"/>
      <c r="P117" s="82"/>
      <c r="Q117" s="82"/>
      <c r="R117" s="82"/>
      <c r="S117" s="82"/>
      <c r="T117" s="82"/>
      <c r="U117" s="82"/>
      <c r="V117" s="82"/>
      <c r="W117" s="83"/>
    </row>
    <row r="118" spans="2:23" x14ac:dyDescent="0.25">
      <c r="B118" s="84"/>
      <c r="C118" s="66"/>
      <c r="D118" s="66"/>
      <c r="E118" s="66"/>
      <c r="F118" s="66"/>
      <c r="G118" s="66"/>
      <c r="H118" s="66"/>
      <c r="I118" s="66"/>
      <c r="J118" s="66"/>
      <c r="K118" s="82"/>
      <c r="L118" s="82"/>
      <c r="M118" s="82"/>
      <c r="N118" s="82"/>
      <c r="O118" s="82"/>
      <c r="P118" s="82"/>
      <c r="Q118" s="82"/>
      <c r="R118" s="82"/>
      <c r="S118" s="82"/>
      <c r="T118" s="82"/>
      <c r="U118" s="82"/>
      <c r="V118" s="82"/>
      <c r="W118" s="83"/>
    </row>
    <row r="119" spans="2:23" x14ac:dyDescent="0.25">
      <c r="B119" s="84"/>
      <c r="C119" s="66"/>
      <c r="D119" s="66"/>
      <c r="E119" s="66"/>
      <c r="F119" s="66"/>
      <c r="G119" s="66"/>
      <c r="H119" s="66"/>
      <c r="I119" s="66"/>
      <c r="J119" s="66"/>
      <c r="K119" s="82"/>
      <c r="L119" s="82"/>
      <c r="M119" s="82"/>
      <c r="N119" s="82"/>
      <c r="O119" s="82"/>
      <c r="P119" s="82"/>
      <c r="Q119" s="82"/>
      <c r="R119" s="82"/>
      <c r="S119" s="82"/>
      <c r="T119" s="82"/>
      <c r="U119" s="82"/>
      <c r="V119" s="82"/>
      <c r="W119" s="83"/>
    </row>
    <row r="120" spans="2:23" x14ac:dyDescent="0.25">
      <c r="B120" s="84"/>
      <c r="C120" s="66"/>
      <c r="D120" s="66"/>
      <c r="E120" s="66"/>
      <c r="F120" s="66"/>
      <c r="G120" s="66"/>
      <c r="H120" s="66"/>
      <c r="I120" s="66"/>
      <c r="J120" s="66"/>
      <c r="K120" s="82"/>
      <c r="L120" s="82"/>
      <c r="M120" s="82"/>
      <c r="N120" s="82"/>
      <c r="O120" s="82"/>
      <c r="P120" s="82"/>
      <c r="Q120" s="82"/>
      <c r="R120" s="82"/>
      <c r="S120" s="82"/>
      <c r="T120" s="82"/>
      <c r="U120" s="82"/>
      <c r="V120" s="82"/>
      <c r="W120" s="83"/>
    </row>
    <row r="121" spans="2:23" x14ac:dyDescent="0.25">
      <c r="B121" s="84"/>
      <c r="C121" s="66"/>
      <c r="D121" s="66"/>
      <c r="E121" s="66"/>
      <c r="F121" s="66"/>
      <c r="G121" s="66"/>
      <c r="H121" s="66"/>
      <c r="I121" s="66"/>
      <c r="J121" s="66"/>
      <c r="K121" s="82"/>
      <c r="L121" s="82"/>
      <c r="M121" s="82"/>
      <c r="N121" s="82"/>
      <c r="O121" s="82"/>
      <c r="P121" s="82"/>
      <c r="Q121" s="82"/>
      <c r="R121" s="82"/>
      <c r="S121" s="82"/>
      <c r="T121" s="82"/>
      <c r="U121" s="82"/>
      <c r="V121" s="82"/>
      <c r="W121" s="83"/>
    </row>
    <row r="122" spans="2:23" x14ac:dyDescent="0.25">
      <c r="B122" s="84"/>
      <c r="C122" s="66"/>
      <c r="D122" s="66"/>
      <c r="E122" s="66"/>
      <c r="F122" s="66"/>
      <c r="G122" s="66"/>
      <c r="H122" s="66"/>
      <c r="I122" s="66"/>
      <c r="J122" s="66"/>
      <c r="K122" s="82"/>
      <c r="L122" s="82"/>
      <c r="M122" s="82"/>
      <c r="N122" s="82"/>
      <c r="O122" s="82"/>
      <c r="P122" s="82"/>
      <c r="Q122" s="82"/>
      <c r="R122" s="82"/>
      <c r="S122" s="82"/>
      <c r="T122" s="82"/>
      <c r="U122" s="82"/>
      <c r="V122" s="82"/>
      <c r="W122" s="83"/>
    </row>
    <row r="123" spans="2:23" x14ac:dyDescent="0.25">
      <c r="B123" s="84"/>
      <c r="C123" s="66"/>
      <c r="D123" s="66"/>
      <c r="E123" s="66"/>
      <c r="F123" s="66"/>
      <c r="G123" s="66"/>
      <c r="H123" s="66"/>
      <c r="I123" s="66"/>
      <c r="J123" s="66"/>
      <c r="K123" s="82"/>
      <c r="L123" s="82"/>
      <c r="M123" s="82"/>
      <c r="N123" s="82"/>
      <c r="O123" s="82"/>
      <c r="P123" s="82"/>
      <c r="Q123" s="82"/>
      <c r="R123" s="82"/>
      <c r="S123" s="82"/>
      <c r="T123" s="82"/>
      <c r="U123" s="82"/>
      <c r="V123" s="82"/>
      <c r="W123" s="83"/>
    </row>
    <row r="124" spans="2:23" x14ac:dyDescent="0.25">
      <c r="B124" s="84"/>
      <c r="C124" s="66"/>
      <c r="D124" s="66"/>
      <c r="E124" s="66"/>
      <c r="F124" s="66"/>
      <c r="G124" s="66"/>
      <c r="H124" s="66"/>
      <c r="I124" s="66"/>
      <c r="J124" s="66"/>
      <c r="K124" s="82"/>
      <c r="L124" s="82"/>
      <c r="M124" s="82"/>
      <c r="N124" s="82"/>
      <c r="O124" s="82"/>
      <c r="P124" s="82"/>
      <c r="Q124" s="82"/>
      <c r="R124" s="82"/>
      <c r="S124" s="82"/>
      <c r="T124" s="82"/>
      <c r="U124" s="82"/>
      <c r="V124" s="82"/>
      <c r="W124" s="83"/>
    </row>
    <row r="125" spans="2:23" x14ac:dyDescent="0.25">
      <c r="B125" s="84"/>
      <c r="C125" s="66"/>
      <c r="D125" s="66"/>
      <c r="E125" s="66"/>
      <c r="F125" s="66"/>
      <c r="G125" s="66"/>
      <c r="H125" s="66"/>
      <c r="I125" s="66"/>
      <c r="J125" s="66"/>
      <c r="K125" s="82"/>
      <c r="L125" s="82"/>
      <c r="M125" s="82"/>
      <c r="N125" s="82"/>
      <c r="O125" s="82"/>
      <c r="P125" s="82"/>
      <c r="Q125" s="82"/>
      <c r="R125" s="82"/>
      <c r="S125" s="82"/>
      <c r="T125" s="82"/>
      <c r="U125" s="82"/>
      <c r="V125" s="82"/>
      <c r="W125" s="83"/>
    </row>
    <row r="126" spans="2:23" x14ac:dyDescent="0.25">
      <c r="B126" s="84"/>
      <c r="C126" s="66"/>
      <c r="D126" s="66"/>
      <c r="E126" s="66"/>
      <c r="F126" s="66"/>
      <c r="G126" s="66"/>
      <c r="H126" s="66"/>
      <c r="I126" s="66"/>
      <c r="J126" s="66"/>
      <c r="K126" s="82"/>
      <c r="L126" s="82"/>
      <c r="M126" s="82"/>
      <c r="N126" s="82"/>
      <c r="O126" s="82"/>
      <c r="P126" s="82"/>
      <c r="Q126" s="82"/>
      <c r="R126" s="82"/>
      <c r="S126" s="82"/>
      <c r="T126" s="82"/>
      <c r="U126" s="82"/>
      <c r="V126" s="82"/>
      <c r="W126" s="83"/>
    </row>
    <row r="127" spans="2:23" x14ac:dyDescent="0.25">
      <c r="B127" s="84"/>
      <c r="C127" s="66"/>
      <c r="D127" s="66"/>
      <c r="E127" s="66"/>
      <c r="F127" s="66"/>
      <c r="G127" s="66"/>
      <c r="H127" s="66"/>
      <c r="I127" s="66"/>
      <c r="J127" s="66"/>
      <c r="K127" s="82"/>
      <c r="L127" s="82"/>
      <c r="M127" s="82"/>
      <c r="N127" s="82"/>
      <c r="O127" s="82"/>
      <c r="P127" s="82"/>
      <c r="Q127" s="82"/>
      <c r="R127" s="82"/>
      <c r="S127" s="82"/>
      <c r="T127" s="82"/>
      <c r="U127" s="82"/>
      <c r="V127" s="82"/>
      <c r="W127" s="83"/>
    </row>
    <row r="128" spans="2:23" x14ac:dyDescent="0.25">
      <c r="B128" s="84"/>
      <c r="C128" s="66"/>
      <c r="D128" s="66"/>
      <c r="E128" s="66"/>
      <c r="F128" s="66"/>
      <c r="G128" s="66"/>
      <c r="H128" s="66"/>
      <c r="I128" s="66"/>
      <c r="J128" s="66"/>
      <c r="K128" s="82"/>
      <c r="L128" s="82"/>
      <c r="M128" s="82"/>
      <c r="N128" s="82"/>
      <c r="O128" s="82"/>
      <c r="P128" s="82"/>
      <c r="Q128" s="82"/>
      <c r="R128" s="82"/>
      <c r="S128" s="82"/>
      <c r="T128" s="82"/>
      <c r="U128" s="82"/>
      <c r="V128" s="82"/>
      <c r="W128" s="83"/>
    </row>
    <row r="129" spans="2:23" x14ac:dyDescent="0.25">
      <c r="B129" s="84"/>
      <c r="C129" s="66"/>
      <c r="D129" s="66"/>
      <c r="E129" s="66"/>
      <c r="F129" s="66"/>
      <c r="G129" s="66"/>
      <c r="H129" s="66"/>
      <c r="I129" s="66"/>
      <c r="J129" s="66"/>
      <c r="K129" s="82"/>
      <c r="L129" s="82"/>
      <c r="M129" s="82"/>
      <c r="N129" s="82"/>
      <c r="O129" s="82"/>
      <c r="P129" s="82"/>
      <c r="Q129" s="82"/>
      <c r="R129" s="82"/>
      <c r="S129" s="82"/>
      <c r="T129" s="82"/>
      <c r="U129" s="82"/>
      <c r="V129" s="82"/>
      <c r="W129" s="83"/>
    </row>
    <row r="130" spans="2:23" x14ac:dyDescent="0.25">
      <c r="B130" s="84"/>
      <c r="C130" s="66"/>
      <c r="D130" s="66"/>
      <c r="E130" s="66"/>
      <c r="F130" s="66"/>
      <c r="G130" s="66"/>
      <c r="H130" s="66"/>
      <c r="I130" s="66"/>
      <c r="J130" s="66"/>
      <c r="K130" s="82"/>
      <c r="L130" s="82"/>
      <c r="M130" s="82"/>
      <c r="N130" s="82"/>
      <c r="O130" s="82"/>
      <c r="P130" s="82"/>
      <c r="Q130" s="82"/>
      <c r="R130" s="82"/>
      <c r="S130" s="82"/>
      <c r="T130" s="82"/>
      <c r="U130" s="82"/>
      <c r="V130" s="82"/>
      <c r="W130" s="83"/>
    </row>
    <row r="131" spans="2:23" x14ac:dyDescent="0.25">
      <c r="B131" s="84"/>
      <c r="C131" s="66"/>
      <c r="D131" s="66"/>
      <c r="E131" s="66"/>
      <c r="F131" s="66"/>
      <c r="G131" s="66"/>
      <c r="H131" s="66"/>
      <c r="I131" s="66"/>
      <c r="J131" s="66"/>
      <c r="K131" s="82"/>
      <c r="L131" s="82"/>
      <c r="M131" s="82"/>
      <c r="N131" s="82"/>
      <c r="O131" s="82"/>
      <c r="P131" s="82"/>
      <c r="Q131" s="82"/>
      <c r="R131" s="82"/>
      <c r="S131" s="82"/>
      <c r="T131" s="82"/>
      <c r="U131" s="82"/>
      <c r="V131" s="82"/>
      <c r="W131" s="83"/>
    </row>
    <row r="132" spans="2:23" x14ac:dyDescent="0.25">
      <c r="B132" s="84"/>
      <c r="C132" s="66"/>
      <c r="D132" s="66"/>
      <c r="E132" s="66"/>
      <c r="F132" s="66"/>
      <c r="G132" s="66"/>
      <c r="H132" s="66"/>
      <c r="I132" s="66"/>
      <c r="J132" s="66"/>
      <c r="K132" s="82"/>
      <c r="L132" s="82"/>
      <c r="M132" s="82"/>
      <c r="N132" s="82"/>
      <c r="O132" s="82"/>
      <c r="P132" s="82"/>
      <c r="Q132" s="82"/>
      <c r="R132" s="82"/>
      <c r="S132" s="82"/>
      <c r="T132" s="82"/>
      <c r="U132" s="82"/>
      <c r="V132" s="82"/>
      <c r="W132" s="83"/>
    </row>
    <row r="133" spans="2:23" x14ac:dyDescent="0.25">
      <c r="B133" s="84"/>
      <c r="C133" s="66"/>
      <c r="D133" s="66"/>
      <c r="E133" s="66"/>
      <c r="F133" s="66"/>
      <c r="G133" s="66"/>
      <c r="H133" s="66"/>
      <c r="I133" s="66"/>
      <c r="J133" s="66"/>
      <c r="K133" s="82"/>
      <c r="L133" s="82"/>
      <c r="M133" s="82"/>
      <c r="N133" s="82"/>
      <c r="O133" s="82"/>
      <c r="P133" s="82"/>
      <c r="Q133" s="82"/>
      <c r="R133" s="82"/>
      <c r="S133" s="82"/>
      <c r="T133" s="82"/>
      <c r="U133" s="82"/>
      <c r="V133" s="82"/>
      <c r="W133" s="83"/>
    </row>
    <row r="134" spans="2:23" x14ac:dyDescent="0.25">
      <c r="B134" s="84"/>
      <c r="C134" s="66"/>
      <c r="D134" s="66"/>
      <c r="E134" s="66"/>
      <c r="F134" s="66"/>
      <c r="G134" s="66"/>
      <c r="H134" s="66"/>
      <c r="I134" s="66"/>
      <c r="J134" s="66"/>
      <c r="K134" s="82"/>
      <c r="L134" s="82"/>
      <c r="M134" s="82"/>
      <c r="N134" s="82"/>
      <c r="O134" s="82"/>
      <c r="P134" s="82"/>
      <c r="Q134" s="82"/>
      <c r="R134" s="82"/>
      <c r="S134" s="82"/>
      <c r="T134" s="82"/>
      <c r="U134" s="82"/>
      <c r="V134" s="82"/>
      <c r="W134" s="83"/>
    </row>
    <row r="135" spans="2:23" x14ac:dyDescent="0.25">
      <c r="B135" s="84"/>
      <c r="C135" s="66"/>
      <c r="D135" s="66"/>
      <c r="E135" s="66"/>
      <c r="F135" s="66"/>
      <c r="G135" s="66"/>
      <c r="H135" s="66"/>
      <c r="I135" s="66"/>
      <c r="J135" s="66"/>
      <c r="K135" s="82"/>
      <c r="L135" s="82"/>
      <c r="M135" s="82"/>
      <c r="N135" s="82"/>
      <c r="O135" s="82"/>
      <c r="P135" s="82"/>
      <c r="Q135" s="82"/>
      <c r="R135" s="82"/>
      <c r="S135" s="82"/>
      <c r="T135" s="82"/>
      <c r="U135" s="82"/>
      <c r="V135" s="82"/>
      <c r="W135" s="83"/>
    </row>
    <row r="136" spans="2:23" x14ac:dyDescent="0.25">
      <c r="B136" s="84"/>
      <c r="C136" s="66"/>
      <c r="D136" s="66"/>
      <c r="E136" s="66"/>
      <c r="F136" s="66"/>
      <c r="G136" s="66"/>
      <c r="H136" s="66"/>
      <c r="I136" s="66"/>
      <c r="J136" s="66"/>
      <c r="K136" s="82"/>
      <c r="L136" s="82"/>
      <c r="M136" s="82"/>
      <c r="N136" s="82"/>
      <c r="O136" s="82"/>
      <c r="P136" s="82"/>
      <c r="Q136" s="82"/>
      <c r="R136" s="82"/>
      <c r="S136" s="82"/>
      <c r="T136" s="82"/>
      <c r="U136" s="82"/>
      <c r="V136" s="82"/>
      <c r="W136" s="83"/>
    </row>
    <row r="137" spans="2:23" x14ac:dyDescent="0.25">
      <c r="B137" s="84"/>
      <c r="C137" s="66"/>
      <c r="D137" s="66"/>
      <c r="E137" s="66"/>
      <c r="F137" s="66"/>
      <c r="G137" s="66"/>
      <c r="H137" s="66"/>
      <c r="I137" s="66"/>
      <c r="J137" s="66"/>
      <c r="K137" s="82"/>
      <c r="L137" s="82"/>
      <c r="M137" s="82"/>
      <c r="N137" s="82"/>
      <c r="O137" s="82"/>
      <c r="P137" s="82"/>
      <c r="Q137" s="82"/>
      <c r="R137" s="82"/>
      <c r="S137" s="82"/>
      <c r="T137" s="82"/>
      <c r="U137" s="82"/>
      <c r="V137" s="82"/>
      <c r="W137" s="83"/>
    </row>
    <row r="138" spans="2:23" x14ac:dyDescent="0.25">
      <c r="B138" s="84"/>
      <c r="C138" s="66"/>
      <c r="D138" s="66"/>
      <c r="E138" s="66"/>
      <c r="F138" s="66"/>
      <c r="G138" s="66"/>
      <c r="H138" s="66"/>
      <c r="I138" s="66"/>
      <c r="J138" s="66"/>
      <c r="K138" s="82"/>
      <c r="L138" s="82"/>
      <c r="M138" s="82"/>
      <c r="N138" s="82"/>
      <c r="O138" s="82"/>
      <c r="P138" s="82"/>
      <c r="Q138" s="82"/>
      <c r="R138" s="82"/>
      <c r="S138" s="82"/>
      <c r="T138" s="82"/>
      <c r="U138" s="82"/>
      <c r="V138" s="82"/>
      <c r="W138" s="83"/>
    </row>
    <row r="139" spans="2:23" x14ac:dyDescent="0.25">
      <c r="B139" s="84"/>
      <c r="C139" s="66"/>
      <c r="D139" s="66"/>
      <c r="E139" s="66"/>
      <c r="F139" s="66"/>
      <c r="G139" s="66"/>
      <c r="H139" s="66"/>
      <c r="I139" s="66"/>
      <c r="J139" s="66"/>
      <c r="K139" s="82"/>
      <c r="L139" s="82"/>
      <c r="M139" s="82"/>
      <c r="N139" s="82"/>
      <c r="O139" s="82"/>
      <c r="P139" s="82"/>
      <c r="Q139" s="82"/>
      <c r="R139" s="82"/>
      <c r="S139" s="82"/>
      <c r="T139" s="82"/>
      <c r="U139" s="82"/>
      <c r="V139" s="82"/>
      <c r="W139" s="83"/>
    </row>
    <row r="140" spans="2:23" x14ac:dyDescent="0.25">
      <c r="B140" s="84"/>
      <c r="C140" s="66"/>
      <c r="D140" s="66"/>
      <c r="E140" s="66"/>
      <c r="F140" s="66"/>
      <c r="G140" s="66"/>
      <c r="H140" s="66"/>
      <c r="I140" s="66"/>
      <c r="J140" s="66"/>
      <c r="K140" s="82"/>
      <c r="L140" s="82"/>
      <c r="M140" s="82"/>
      <c r="N140" s="82"/>
      <c r="O140" s="82"/>
      <c r="P140" s="82"/>
      <c r="Q140" s="82"/>
      <c r="R140" s="82"/>
      <c r="S140" s="82"/>
      <c r="T140" s="82"/>
      <c r="U140" s="82"/>
      <c r="V140" s="82"/>
      <c r="W140" s="83"/>
    </row>
    <row r="141" spans="2:23" x14ac:dyDescent="0.25">
      <c r="B141" s="84"/>
      <c r="C141" s="66"/>
      <c r="D141" s="66"/>
      <c r="E141" s="66"/>
      <c r="F141" s="66"/>
      <c r="G141" s="66"/>
      <c r="H141" s="66"/>
      <c r="I141" s="66"/>
      <c r="J141" s="66"/>
      <c r="K141" s="82"/>
      <c r="L141" s="82"/>
      <c r="M141" s="82"/>
      <c r="N141" s="82"/>
      <c r="O141" s="82"/>
      <c r="P141" s="82"/>
      <c r="Q141" s="82"/>
      <c r="R141" s="82"/>
      <c r="S141" s="82"/>
      <c r="T141" s="82"/>
      <c r="U141" s="82"/>
      <c r="V141" s="82"/>
      <c r="W141" s="83"/>
    </row>
    <row r="142" spans="2:23" x14ac:dyDescent="0.25">
      <c r="B142" s="84"/>
      <c r="C142" s="66"/>
      <c r="D142" s="66"/>
      <c r="E142" s="66"/>
      <c r="F142" s="66"/>
      <c r="G142" s="66"/>
      <c r="H142" s="66"/>
      <c r="I142" s="66"/>
      <c r="J142" s="66"/>
      <c r="K142" s="82"/>
      <c r="L142" s="82"/>
      <c r="M142" s="82"/>
      <c r="N142" s="82"/>
      <c r="O142" s="82"/>
      <c r="P142" s="82"/>
      <c r="Q142" s="82"/>
      <c r="R142" s="82"/>
      <c r="S142" s="82"/>
      <c r="T142" s="82"/>
      <c r="U142" s="82"/>
      <c r="V142" s="82"/>
      <c r="W142" s="83"/>
    </row>
    <row r="143" spans="2:23" x14ac:dyDescent="0.25">
      <c r="B143" s="84"/>
      <c r="C143" s="66"/>
      <c r="D143" s="66"/>
      <c r="E143" s="66"/>
      <c r="F143" s="66"/>
      <c r="G143" s="66"/>
      <c r="H143" s="66"/>
      <c r="I143" s="66"/>
      <c r="J143" s="66"/>
      <c r="K143" s="82"/>
      <c r="L143" s="82"/>
      <c r="M143" s="82"/>
      <c r="N143" s="82"/>
      <c r="O143" s="82"/>
      <c r="P143" s="82"/>
      <c r="Q143" s="82"/>
      <c r="R143" s="82"/>
      <c r="S143" s="82"/>
      <c r="T143" s="82"/>
      <c r="U143" s="82"/>
      <c r="V143" s="82"/>
      <c r="W143" s="83"/>
    </row>
    <row r="144" spans="2:23" x14ac:dyDescent="0.25">
      <c r="B144" s="84"/>
      <c r="C144" s="66"/>
      <c r="D144" s="66"/>
      <c r="E144" s="66"/>
      <c r="F144" s="66"/>
      <c r="G144" s="66"/>
      <c r="H144" s="66"/>
      <c r="I144" s="66"/>
      <c r="J144" s="66"/>
      <c r="K144" s="82"/>
      <c r="L144" s="82"/>
      <c r="M144" s="82"/>
      <c r="N144" s="82"/>
      <c r="O144" s="82"/>
      <c r="P144" s="82"/>
      <c r="Q144" s="82"/>
      <c r="R144" s="82"/>
      <c r="S144" s="82"/>
      <c r="T144" s="82"/>
      <c r="U144" s="82"/>
      <c r="V144" s="82"/>
      <c r="W144" s="83"/>
    </row>
    <row r="145" spans="2:24" ht="15.75" thickBot="1" x14ac:dyDescent="0.3">
      <c r="B145" s="85"/>
      <c r="C145" s="86"/>
      <c r="D145" s="86"/>
      <c r="E145" s="86"/>
      <c r="F145" s="86"/>
      <c r="G145" s="86"/>
      <c r="H145" s="86"/>
      <c r="I145" s="86"/>
      <c r="J145" s="86"/>
      <c r="K145" s="87"/>
      <c r="L145" s="87"/>
      <c r="M145" s="87"/>
      <c r="N145" s="87"/>
      <c r="O145" s="87"/>
      <c r="P145" s="87"/>
      <c r="Q145" s="87"/>
      <c r="R145" s="87"/>
      <c r="S145" s="87"/>
      <c r="T145" s="87"/>
      <c r="U145" s="87"/>
      <c r="V145" s="87"/>
      <c r="W145" s="88"/>
    </row>
    <row r="147" spans="2:24" x14ac:dyDescent="0.25">
      <c r="B147" s="65"/>
      <c r="C147" s="66"/>
      <c r="D147" s="66"/>
      <c r="E147" s="66"/>
      <c r="F147" s="66"/>
      <c r="G147" s="66"/>
      <c r="H147" s="66"/>
      <c r="I147" s="66"/>
      <c r="J147" s="66"/>
      <c r="K147" s="82"/>
      <c r="L147" s="82"/>
      <c r="M147" s="82"/>
      <c r="N147" s="82"/>
      <c r="O147" s="82"/>
      <c r="P147" s="82"/>
      <c r="Q147" s="82"/>
      <c r="R147" s="82"/>
      <c r="S147" s="82"/>
      <c r="T147" s="82"/>
      <c r="U147" s="82"/>
      <c r="V147" s="82"/>
      <c r="W147" s="82"/>
      <c r="X147" s="82"/>
    </row>
    <row r="148" spans="2:24" x14ac:dyDescent="0.25">
      <c r="B148" s="65"/>
      <c r="C148" s="66"/>
      <c r="D148" s="66"/>
      <c r="E148" s="66"/>
      <c r="F148" s="66"/>
      <c r="G148" s="66"/>
      <c r="H148" s="66"/>
      <c r="I148" s="66"/>
      <c r="J148" s="66"/>
      <c r="K148" s="82"/>
      <c r="L148" s="82"/>
      <c r="M148" s="82"/>
      <c r="N148" s="82"/>
      <c r="O148" s="82"/>
      <c r="P148" s="82"/>
      <c r="Q148" s="82"/>
      <c r="R148" s="82"/>
      <c r="S148" s="82"/>
      <c r="T148" s="82"/>
      <c r="U148" s="82"/>
      <c r="V148" s="82"/>
      <c r="W148" s="82"/>
      <c r="X148" s="82"/>
    </row>
    <row r="149" spans="2:24" x14ac:dyDescent="0.25">
      <c r="B149" s="65"/>
      <c r="C149" s="66"/>
      <c r="D149" s="66"/>
      <c r="E149" s="66"/>
      <c r="F149" s="66"/>
      <c r="G149" s="66"/>
      <c r="H149" s="66"/>
      <c r="I149" s="66"/>
      <c r="J149" s="66"/>
      <c r="K149" s="82"/>
      <c r="L149" s="82"/>
      <c r="M149" s="82"/>
      <c r="N149" s="82"/>
      <c r="O149" s="82"/>
      <c r="P149" s="82"/>
      <c r="Q149" s="82"/>
      <c r="R149" s="82"/>
      <c r="S149" s="82"/>
      <c r="T149" s="82"/>
      <c r="U149" s="82"/>
      <c r="V149" s="82"/>
      <c r="W149" s="82"/>
      <c r="X149" s="82"/>
    </row>
    <row r="150" spans="2:24" x14ac:dyDescent="0.25">
      <c r="B150" s="65"/>
      <c r="C150" s="66"/>
      <c r="D150" s="66"/>
      <c r="E150" s="66"/>
      <c r="F150" s="66"/>
      <c r="G150" s="66"/>
      <c r="H150" s="66"/>
      <c r="I150" s="66"/>
      <c r="J150" s="66"/>
      <c r="K150" s="82"/>
      <c r="L150" s="82"/>
      <c r="M150" s="82"/>
      <c r="N150" s="82"/>
      <c r="O150" s="82"/>
      <c r="P150" s="82"/>
      <c r="Q150" s="82"/>
      <c r="R150" s="82"/>
      <c r="S150" s="82"/>
      <c r="T150" s="82"/>
      <c r="U150" s="82"/>
      <c r="V150" s="82"/>
      <c r="W150" s="82"/>
      <c r="X150" s="82"/>
    </row>
    <row r="151" spans="2:24" x14ac:dyDescent="0.25">
      <c r="B151" s="65"/>
      <c r="C151" s="66"/>
      <c r="D151" s="66"/>
      <c r="E151" s="66"/>
      <c r="F151" s="66"/>
      <c r="G151" s="66"/>
      <c r="H151" s="66"/>
      <c r="I151" s="66"/>
      <c r="J151" s="66"/>
      <c r="K151" s="82"/>
      <c r="L151" s="82"/>
      <c r="M151" s="82"/>
      <c r="N151" s="82"/>
      <c r="O151" s="82"/>
      <c r="P151" s="82"/>
      <c r="Q151" s="82"/>
      <c r="R151" s="82"/>
      <c r="S151" s="82"/>
      <c r="T151" s="82"/>
      <c r="U151" s="82"/>
      <c r="V151" s="82"/>
      <c r="W151" s="82"/>
      <c r="X151" s="82"/>
    </row>
    <row r="152" spans="2:24" x14ac:dyDescent="0.25">
      <c r="B152" s="65"/>
      <c r="C152" s="66"/>
      <c r="D152" s="66"/>
      <c r="E152" s="66"/>
      <c r="F152" s="66"/>
      <c r="G152" s="66"/>
      <c r="H152" s="66"/>
      <c r="I152" s="66"/>
      <c r="J152" s="66"/>
      <c r="K152" s="82"/>
      <c r="L152" s="82"/>
      <c r="M152" s="82"/>
      <c r="N152" s="82"/>
      <c r="O152" s="82"/>
      <c r="P152" s="82"/>
      <c r="Q152" s="82"/>
      <c r="R152" s="82"/>
      <c r="S152" s="82"/>
      <c r="T152" s="82"/>
      <c r="U152" s="82"/>
      <c r="V152" s="82"/>
      <c r="W152" s="82"/>
      <c r="X152" s="82"/>
    </row>
    <row r="153" spans="2:24" x14ac:dyDescent="0.25">
      <c r="B153" s="65"/>
      <c r="C153" s="66"/>
      <c r="D153" s="66"/>
      <c r="E153" s="66"/>
      <c r="F153" s="66"/>
      <c r="G153" s="66"/>
      <c r="H153" s="66"/>
      <c r="I153" s="66"/>
      <c r="J153" s="66"/>
      <c r="K153" s="82"/>
      <c r="L153" s="82"/>
      <c r="M153" s="82"/>
      <c r="N153" s="82"/>
      <c r="O153" s="82"/>
      <c r="P153" s="82"/>
      <c r="Q153" s="82"/>
      <c r="R153" s="82"/>
      <c r="S153" s="82"/>
      <c r="T153" s="82"/>
      <c r="U153" s="82"/>
      <c r="V153" s="82"/>
      <c r="W153" s="82"/>
      <c r="X153" s="82"/>
    </row>
    <row r="154" spans="2:24" x14ac:dyDescent="0.25">
      <c r="B154" s="65"/>
      <c r="C154" s="66"/>
      <c r="D154" s="66"/>
      <c r="E154" s="66"/>
      <c r="F154" s="66"/>
      <c r="G154" s="66"/>
      <c r="H154" s="66"/>
      <c r="I154" s="66"/>
      <c r="J154" s="66"/>
      <c r="K154" s="82"/>
      <c r="L154" s="82"/>
      <c r="M154" s="82"/>
      <c r="N154" s="82"/>
      <c r="O154" s="82"/>
      <c r="P154" s="82"/>
      <c r="Q154" s="82"/>
      <c r="R154" s="82"/>
      <c r="S154" s="82"/>
      <c r="T154" s="82"/>
      <c r="U154" s="82"/>
      <c r="V154" s="82"/>
      <c r="W154" s="82"/>
      <c r="X154" s="82"/>
    </row>
    <row r="155" spans="2:24" x14ac:dyDescent="0.25">
      <c r="B155" s="65"/>
      <c r="C155" s="66"/>
      <c r="D155" s="66"/>
      <c r="E155" s="66"/>
      <c r="F155" s="66"/>
      <c r="G155" s="66"/>
      <c r="H155" s="66"/>
      <c r="I155" s="66"/>
      <c r="J155" s="66"/>
      <c r="K155" s="82"/>
      <c r="L155" s="82"/>
      <c r="M155" s="82"/>
      <c r="N155" s="82"/>
      <c r="O155" s="82"/>
      <c r="P155" s="82"/>
      <c r="Q155" s="82"/>
      <c r="R155" s="82"/>
      <c r="S155" s="82"/>
      <c r="T155" s="82"/>
      <c r="U155" s="82"/>
      <c r="V155" s="82"/>
      <c r="W155" s="82"/>
      <c r="X155" s="82"/>
    </row>
    <row r="156" spans="2:24" x14ac:dyDescent="0.25">
      <c r="B156" s="65"/>
      <c r="C156" s="66"/>
      <c r="D156" s="66"/>
      <c r="E156" s="66"/>
      <c r="F156" s="66"/>
      <c r="G156" s="66"/>
      <c r="H156" s="66"/>
      <c r="I156" s="66"/>
      <c r="J156" s="66"/>
      <c r="K156" s="82"/>
      <c r="L156" s="82"/>
      <c r="M156" s="82"/>
      <c r="N156" s="82"/>
      <c r="O156" s="82"/>
      <c r="P156" s="82"/>
      <c r="Q156" s="82"/>
      <c r="R156" s="82"/>
      <c r="S156" s="82"/>
      <c r="T156" s="82"/>
      <c r="U156" s="82"/>
      <c r="V156" s="82"/>
      <c r="W156" s="82"/>
      <c r="X156" s="82"/>
    </row>
    <row r="157" spans="2:24" x14ac:dyDescent="0.25">
      <c r="B157" s="65"/>
      <c r="C157" s="66"/>
      <c r="D157" s="66"/>
      <c r="E157" s="66"/>
      <c r="F157" s="66"/>
      <c r="G157" s="66"/>
      <c r="H157" s="66"/>
      <c r="I157" s="66"/>
      <c r="J157" s="66"/>
      <c r="K157" s="82"/>
      <c r="L157" s="82"/>
      <c r="M157" s="82"/>
      <c r="N157" s="82"/>
      <c r="O157" s="82"/>
      <c r="P157" s="82"/>
      <c r="Q157" s="82"/>
      <c r="R157" s="82"/>
      <c r="S157" s="82"/>
      <c r="T157" s="82"/>
      <c r="U157" s="82"/>
      <c r="V157" s="82"/>
      <c r="W157" s="82"/>
      <c r="X157" s="82"/>
    </row>
    <row r="158" spans="2:24" x14ac:dyDescent="0.25">
      <c r="B158" s="65"/>
      <c r="C158" s="66"/>
      <c r="D158" s="66"/>
      <c r="E158" s="66"/>
      <c r="F158" s="66"/>
      <c r="G158" s="66"/>
      <c r="H158" s="66"/>
      <c r="I158" s="66"/>
      <c r="J158" s="66"/>
      <c r="K158" s="82"/>
      <c r="L158" s="82"/>
      <c r="M158" s="82"/>
      <c r="N158" s="82"/>
      <c r="O158" s="82"/>
      <c r="P158" s="82"/>
      <c r="Q158" s="82"/>
      <c r="R158" s="82"/>
      <c r="S158" s="82"/>
      <c r="T158" s="82"/>
      <c r="U158" s="82"/>
      <c r="V158" s="82"/>
      <c r="W158" s="82"/>
      <c r="X158" s="82"/>
    </row>
    <row r="159" spans="2:24" x14ac:dyDescent="0.25">
      <c r="B159" s="65"/>
      <c r="C159" s="66"/>
      <c r="D159" s="66"/>
      <c r="E159" s="66"/>
      <c r="F159" s="66"/>
      <c r="G159" s="66"/>
      <c r="H159" s="66"/>
      <c r="I159" s="66"/>
      <c r="J159" s="66"/>
      <c r="K159" s="82"/>
      <c r="L159" s="82"/>
      <c r="M159" s="82"/>
      <c r="N159" s="82"/>
      <c r="O159" s="82"/>
      <c r="P159" s="82"/>
      <c r="Q159" s="82"/>
      <c r="R159" s="82"/>
      <c r="S159" s="82"/>
      <c r="T159" s="82"/>
      <c r="U159" s="82"/>
      <c r="V159" s="82"/>
      <c r="W159" s="82"/>
      <c r="X159" s="82"/>
    </row>
    <row r="160" spans="2:24" x14ac:dyDescent="0.25">
      <c r="B160" s="65"/>
      <c r="C160" s="66"/>
      <c r="D160" s="66"/>
      <c r="E160" s="66"/>
      <c r="F160" s="66"/>
      <c r="G160" s="66"/>
      <c r="H160" s="66"/>
      <c r="I160" s="66"/>
      <c r="J160" s="66"/>
      <c r="K160" s="82"/>
      <c r="L160" s="82"/>
      <c r="M160" s="82"/>
      <c r="N160" s="82"/>
      <c r="O160" s="82"/>
      <c r="P160" s="82"/>
      <c r="Q160" s="82"/>
      <c r="R160" s="82"/>
      <c r="S160" s="82"/>
      <c r="T160" s="82"/>
      <c r="U160" s="82"/>
      <c r="V160" s="82"/>
      <c r="W160" s="82"/>
      <c r="X160" s="82"/>
    </row>
    <row r="161" spans="2:24" x14ac:dyDescent="0.25">
      <c r="B161" s="65"/>
      <c r="C161" s="66"/>
      <c r="D161" s="66"/>
      <c r="E161" s="66"/>
      <c r="F161" s="66"/>
      <c r="G161" s="66"/>
      <c r="H161" s="66"/>
      <c r="I161" s="66"/>
      <c r="J161" s="66"/>
      <c r="K161" s="82"/>
      <c r="L161" s="82"/>
      <c r="M161" s="82"/>
      <c r="N161" s="82"/>
      <c r="O161" s="82"/>
      <c r="P161" s="82"/>
      <c r="Q161" s="82"/>
      <c r="R161" s="82"/>
      <c r="S161" s="82"/>
      <c r="T161" s="82"/>
      <c r="U161" s="82"/>
      <c r="V161" s="82"/>
      <c r="W161" s="82"/>
      <c r="X161" s="82"/>
    </row>
    <row r="162" spans="2:24" x14ac:dyDescent="0.25">
      <c r="B162" s="65"/>
      <c r="C162" s="66"/>
      <c r="D162" s="66"/>
      <c r="E162" s="66"/>
      <c r="F162" s="66"/>
      <c r="G162" s="66"/>
      <c r="H162" s="66"/>
      <c r="I162" s="66"/>
      <c r="J162" s="66"/>
      <c r="K162" s="82"/>
      <c r="L162" s="82"/>
      <c r="M162" s="82"/>
      <c r="N162" s="82"/>
      <c r="O162" s="82"/>
      <c r="P162" s="82"/>
      <c r="Q162" s="82"/>
      <c r="R162" s="82"/>
      <c r="S162" s="82"/>
      <c r="T162" s="82"/>
      <c r="U162" s="82"/>
      <c r="V162" s="82"/>
      <c r="W162" s="82"/>
      <c r="X162" s="82"/>
    </row>
    <row r="163" spans="2:24" x14ac:dyDescent="0.25">
      <c r="B163" s="65"/>
      <c r="C163" s="66"/>
      <c r="D163" s="66"/>
      <c r="E163" s="66"/>
      <c r="F163" s="66"/>
      <c r="G163" s="66"/>
      <c r="H163" s="66"/>
      <c r="I163" s="66"/>
      <c r="J163" s="66"/>
      <c r="K163" s="82"/>
      <c r="L163" s="82"/>
      <c r="M163" s="82"/>
      <c r="N163" s="82"/>
      <c r="O163" s="82"/>
      <c r="P163" s="82"/>
      <c r="Q163" s="82"/>
      <c r="R163" s="82"/>
      <c r="S163" s="82"/>
      <c r="T163" s="82"/>
      <c r="U163" s="82"/>
      <c r="V163" s="82"/>
      <c r="W163" s="82"/>
      <c r="X163" s="82"/>
    </row>
    <row r="164" spans="2:24" x14ac:dyDescent="0.25">
      <c r="B164" s="65"/>
      <c r="C164" s="66"/>
      <c r="D164" s="66"/>
      <c r="E164" s="66"/>
      <c r="F164" s="66"/>
      <c r="G164" s="66"/>
      <c r="H164" s="66"/>
      <c r="I164" s="66"/>
      <c r="J164" s="66"/>
      <c r="K164" s="82"/>
      <c r="L164" s="82"/>
      <c r="M164" s="82"/>
      <c r="N164" s="82"/>
      <c r="O164" s="82"/>
      <c r="P164" s="82"/>
      <c r="Q164" s="82"/>
      <c r="R164" s="82"/>
      <c r="S164" s="82"/>
      <c r="T164" s="82"/>
      <c r="U164" s="82"/>
      <c r="V164" s="82"/>
      <c r="W164" s="82"/>
      <c r="X164" s="82"/>
    </row>
    <row r="165" spans="2:24" x14ac:dyDescent="0.25">
      <c r="B165" s="65"/>
      <c r="C165" s="66"/>
      <c r="D165" s="66"/>
      <c r="E165" s="66"/>
      <c r="F165" s="66"/>
      <c r="G165" s="66"/>
      <c r="H165" s="66"/>
      <c r="I165" s="66"/>
      <c r="J165" s="66"/>
      <c r="K165" s="82"/>
      <c r="L165" s="82"/>
      <c r="M165" s="82"/>
      <c r="N165" s="82"/>
      <c r="O165" s="82"/>
      <c r="P165" s="82"/>
      <c r="Q165" s="82"/>
      <c r="R165" s="82"/>
      <c r="S165" s="82"/>
      <c r="T165" s="82"/>
      <c r="U165" s="82"/>
      <c r="V165" s="82"/>
      <c r="W165" s="82"/>
      <c r="X165" s="82"/>
    </row>
    <row r="166" spans="2:24" x14ac:dyDescent="0.25">
      <c r="B166" s="65"/>
      <c r="C166" s="66"/>
      <c r="D166" s="66"/>
      <c r="E166" s="66"/>
      <c r="F166" s="66"/>
      <c r="G166" s="66"/>
      <c r="H166" s="66"/>
      <c r="I166" s="66"/>
      <c r="J166" s="66"/>
      <c r="K166" s="82"/>
      <c r="L166" s="82"/>
      <c r="M166" s="82"/>
      <c r="N166" s="82"/>
      <c r="O166" s="82"/>
      <c r="P166" s="82"/>
      <c r="Q166" s="82"/>
      <c r="R166" s="82"/>
      <c r="S166" s="82"/>
      <c r="T166" s="82"/>
      <c r="U166" s="82"/>
      <c r="V166" s="82"/>
      <c r="W166" s="82"/>
      <c r="X166" s="82"/>
    </row>
    <row r="167" spans="2:24" x14ac:dyDescent="0.25">
      <c r="B167" s="65"/>
      <c r="C167" s="66"/>
      <c r="D167" s="66"/>
      <c r="E167" s="66"/>
      <c r="F167" s="66"/>
      <c r="G167" s="66"/>
      <c r="H167" s="66"/>
      <c r="I167" s="66"/>
      <c r="J167" s="66"/>
      <c r="K167" s="82"/>
      <c r="L167" s="82"/>
      <c r="M167" s="82"/>
      <c r="N167" s="82"/>
      <c r="O167" s="82"/>
      <c r="P167" s="82"/>
      <c r="Q167" s="82"/>
      <c r="R167" s="82"/>
      <c r="S167" s="82"/>
      <c r="T167" s="82"/>
      <c r="U167" s="82"/>
      <c r="V167" s="82"/>
      <c r="W167" s="82"/>
      <c r="X167" s="82"/>
    </row>
    <row r="168" spans="2:24" x14ac:dyDescent="0.25">
      <c r="B168" s="65"/>
      <c r="C168" s="66"/>
      <c r="D168" s="66"/>
      <c r="E168" s="66"/>
      <c r="F168" s="66"/>
      <c r="G168" s="66"/>
      <c r="H168" s="66"/>
      <c r="I168" s="66"/>
      <c r="J168" s="66"/>
      <c r="K168" s="82"/>
      <c r="L168" s="82"/>
      <c r="M168" s="82"/>
      <c r="N168" s="82"/>
      <c r="O168" s="82"/>
      <c r="P168" s="82"/>
      <c r="Q168" s="82"/>
      <c r="R168" s="82"/>
      <c r="S168" s="82"/>
      <c r="T168" s="82"/>
      <c r="U168" s="82"/>
      <c r="V168" s="82"/>
      <c r="W168" s="82"/>
      <c r="X168" s="82"/>
    </row>
    <row r="169" spans="2:24" x14ac:dyDescent="0.25">
      <c r="B169" s="65"/>
      <c r="C169" s="66"/>
      <c r="D169" s="66"/>
      <c r="E169" s="66"/>
      <c r="F169" s="66"/>
      <c r="G169" s="66"/>
      <c r="H169" s="66"/>
      <c r="I169" s="66"/>
      <c r="J169" s="66"/>
      <c r="K169" s="82"/>
      <c r="L169" s="82"/>
      <c r="M169" s="82"/>
      <c r="N169" s="82"/>
      <c r="O169" s="82"/>
      <c r="P169" s="82"/>
      <c r="Q169" s="82"/>
      <c r="R169" s="82"/>
      <c r="S169" s="82"/>
      <c r="T169" s="82"/>
      <c r="U169" s="82"/>
      <c r="V169" s="82"/>
      <c r="W169" s="82"/>
      <c r="X169" s="82"/>
    </row>
    <row r="170" spans="2:24" x14ac:dyDescent="0.25">
      <c r="B170" s="65"/>
      <c r="C170" s="66"/>
      <c r="D170" s="66"/>
      <c r="E170" s="66"/>
      <c r="F170" s="66"/>
      <c r="G170" s="66"/>
      <c r="H170" s="66"/>
      <c r="I170" s="66"/>
      <c r="J170" s="66"/>
      <c r="K170" s="82"/>
      <c r="L170" s="82"/>
      <c r="M170" s="82"/>
      <c r="N170" s="82"/>
      <c r="O170" s="82"/>
      <c r="P170" s="82"/>
      <c r="Q170" s="82"/>
      <c r="R170" s="82"/>
      <c r="S170" s="82"/>
      <c r="T170" s="82"/>
      <c r="U170" s="82"/>
      <c r="V170" s="82"/>
      <c r="W170" s="82"/>
      <c r="X170" s="82"/>
    </row>
    <row r="171" spans="2:24" x14ac:dyDescent="0.25">
      <c r="B171" s="65"/>
      <c r="C171" s="66"/>
      <c r="D171" s="66"/>
      <c r="E171" s="66"/>
      <c r="F171" s="66"/>
      <c r="G171" s="66"/>
      <c r="H171" s="66"/>
      <c r="I171" s="66"/>
      <c r="J171" s="66"/>
      <c r="K171" s="82"/>
      <c r="L171" s="82"/>
      <c r="M171" s="82"/>
      <c r="N171" s="82"/>
      <c r="O171" s="82"/>
      <c r="P171" s="82"/>
      <c r="Q171" s="82"/>
      <c r="R171" s="82"/>
      <c r="S171" s="82"/>
      <c r="T171" s="82"/>
      <c r="U171" s="82"/>
      <c r="V171" s="82"/>
      <c r="W171" s="82"/>
      <c r="X171" s="82"/>
    </row>
    <row r="172" spans="2:24" x14ac:dyDescent="0.25">
      <c r="B172" s="65"/>
      <c r="C172" s="66"/>
      <c r="D172" s="66"/>
      <c r="E172" s="66"/>
      <c r="F172" s="66"/>
      <c r="G172" s="66"/>
      <c r="H172" s="66"/>
      <c r="I172" s="66"/>
      <c r="J172" s="66"/>
      <c r="K172" s="82"/>
      <c r="L172" s="82"/>
      <c r="M172" s="82"/>
      <c r="N172" s="82"/>
      <c r="O172" s="82"/>
      <c r="P172" s="82"/>
      <c r="Q172" s="82"/>
      <c r="R172" s="82"/>
      <c r="S172" s="82"/>
      <c r="T172" s="82"/>
      <c r="U172" s="82"/>
      <c r="V172" s="82"/>
      <c r="W172" s="82"/>
      <c r="X172" s="82"/>
    </row>
    <row r="173" spans="2:24" x14ac:dyDescent="0.25">
      <c r="B173" s="65"/>
      <c r="C173" s="66"/>
      <c r="D173" s="66"/>
      <c r="E173" s="66"/>
      <c r="F173" s="66"/>
      <c r="G173" s="66"/>
      <c r="H173" s="66"/>
      <c r="I173" s="66"/>
      <c r="J173" s="66"/>
      <c r="K173" s="82"/>
      <c r="L173" s="82"/>
      <c r="M173" s="82"/>
      <c r="N173" s="82"/>
      <c r="O173" s="82"/>
      <c r="P173" s="82"/>
      <c r="Q173" s="82"/>
      <c r="R173" s="82"/>
      <c r="S173" s="82"/>
      <c r="T173" s="82"/>
      <c r="U173" s="82"/>
      <c r="V173" s="82"/>
      <c r="W173" s="82"/>
      <c r="X173" s="82"/>
    </row>
    <row r="174" spans="2:24" x14ac:dyDescent="0.25">
      <c r="B174" s="65"/>
      <c r="C174" s="66"/>
      <c r="D174" s="66"/>
      <c r="E174" s="66"/>
      <c r="F174" s="66"/>
      <c r="G174" s="66"/>
      <c r="H174" s="66"/>
      <c r="I174" s="66"/>
      <c r="J174" s="66"/>
      <c r="K174" s="82"/>
      <c r="L174" s="82"/>
      <c r="M174" s="82"/>
      <c r="N174" s="82"/>
      <c r="O174" s="82"/>
      <c r="P174" s="82"/>
      <c r="Q174" s="82"/>
      <c r="R174" s="82"/>
      <c r="S174" s="82"/>
      <c r="T174" s="82"/>
      <c r="U174" s="82"/>
      <c r="V174" s="82"/>
      <c r="W174" s="82"/>
      <c r="X174" s="82"/>
    </row>
    <row r="175" spans="2:24" x14ac:dyDescent="0.25">
      <c r="B175" s="65"/>
      <c r="C175" s="66"/>
      <c r="D175" s="66"/>
      <c r="E175" s="66"/>
      <c r="F175" s="66"/>
      <c r="G175" s="66"/>
      <c r="H175" s="66"/>
      <c r="I175" s="66"/>
      <c r="J175" s="66"/>
      <c r="K175" s="82"/>
      <c r="L175" s="82"/>
      <c r="M175" s="82"/>
      <c r="N175" s="82"/>
      <c r="O175" s="82"/>
      <c r="P175" s="82"/>
      <c r="Q175" s="82"/>
      <c r="R175" s="82"/>
      <c r="S175" s="82"/>
      <c r="T175" s="82"/>
      <c r="U175" s="82"/>
      <c r="V175" s="82"/>
      <c r="W175" s="82"/>
      <c r="X175" s="82"/>
    </row>
    <row r="176" spans="2:24" x14ac:dyDescent="0.25">
      <c r="B176" s="65"/>
      <c r="C176" s="66"/>
      <c r="D176" s="66"/>
      <c r="E176" s="66"/>
      <c r="F176" s="66"/>
      <c r="G176" s="66"/>
      <c r="H176" s="66"/>
      <c r="I176" s="66"/>
      <c r="J176" s="66"/>
      <c r="K176" s="82"/>
      <c r="L176" s="82"/>
      <c r="M176" s="82"/>
      <c r="N176" s="82"/>
      <c r="O176" s="82"/>
      <c r="P176" s="82"/>
      <c r="Q176" s="82"/>
      <c r="R176" s="82"/>
      <c r="S176" s="82"/>
      <c r="T176" s="82"/>
      <c r="U176" s="82"/>
      <c r="V176" s="82"/>
      <c r="W176" s="82"/>
      <c r="X176" s="82"/>
    </row>
    <row r="177" spans="2:24" x14ac:dyDescent="0.25">
      <c r="B177" s="65"/>
      <c r="C177" s="66"/>
      <c r="D177" s="66"/>
      <c r="E177" s="66"/>
      <c r="F177" s="66"/>
      <c r="G177" s="66"/>
      <c r="H177" s="66"/>
      <c r="I177" s="66"/>
      <c r="J177" s="66"/>
      <c r="K177" s="82"/>
      <c r="L177" s="82"/>
      <c r="M177" s="82"/>
      <c r="N177" s="82"/>
      <c r="O177" s="82"/>
      <c r="P177" s="82"/>
      <c r="Q177" s="82"/>
      <c r="R177" s="82"/>
      <c r="S177" s="82"/>
      <c r="T177" s="82"/>
      <c r="U177" s="82"/>
      <c r="V177" s="82"/>
      <c r="W177" s="82"/>
      <c r="X177" s="82"/>
    </row>
    <row r="178" spans="2:24" x14ac:dyDescent="0.25">
      <c r="B178" s="65"/>
      <c r="C178" s="66"/>
      <c r="D178" s="66"/>
      <c r="E178" s="66"/>
      <c r="F178" s="66"/>
      <c r="G178" s="66"/>
      <c r="H178" s="66"/>
      <c r="I178" s="66"/>
      <c r="J178" s="66"/>
      <c r="K178" s="82"/>
      <c r="L178" s="82"/>
      <c r="M178" s="82"/>
      <c r="N178" s="82"/>
      <c r="O178" s="82"/>
      <c r="P178" s="82"/>
      <c r="Q178" s="82"/>
      <c r="R178" s="82"/>
      <c r="S178" s="82"/>
      <c r="T178" s="82"/>
      <c r="U178" s="82"/>
      <c r="V178" s="82"/>
      <c r="W178" s="82"/>
      <c r="X178" s="82"/>
    </row>
    <row r="179" spans="2:24" x14ac:dyDescent="0.25">
      <c r="B179" s="65"/>
      <c r="C179" s="66"/>
      <c r="D179" s="66"/>
      <c r="E179" s="66"/>
      <c r="F179" s="66"/>
      <c r="G179" s="66"/>
      <c r="H179" s="66"/>
      <c r="I179" s="66"/>
      <c r="J179" s="66"/>
      <c r="K179" s="82"/>
      <c r="L179" s="82"/>
      <c r="M179" s="82"/>
      <c r="N179" s="82"/>
      <c r="O179" s="82"/>
      <c r="P179" s="82"/>
      <c r="Q179" s="82"/>
      <c r="R179" s="82"/>
      <c r="S179" s="82"/>
      <c r="T179" s="82"/>
      <c r="U179" s="82"/>
      <c r="V179" s="82"/>
      <c r="W179" s="82"/>
      <c r="X179" s="82"/>
    </row>
    <row r="180" spans="2:24" x14ac:dyDescent="0.25">
      <c r="B180" s="65"/>
      <c r="C180" s="66"/>
      <c r="D180" s="66"/>
      <c r="E180" s="66"/>
      <c r="F180" s="66"/>
      <c r="G180" s="66"/>
      <c r="H180" s="66"/>
      <c r="I180" s="66"/>
      <c r="J180" s="66"/>
      <c r="K180" s="82"/>
      <c r="L180" s="82"/>
      <c r="M180" s="82"/>
      <c r="N180" s="82"/>
      <c r="O180" s="82"/>
      <c r="P180" s="82"/>
      <c r="Q180" s="82"/>
      <c r="R180" s="82"/>
      <c r="S180" s="82"/>
      <c r="T180" s="82"/>
      <c r="U180" s="82"/>
      <c r="V180" s="82"/>
      <c r="W180" s="82"/>
      <c r="X180" s="82"/>
    </row>
    <row r="181" spans="2:24" x14ac:dyDescent="0.25">
      <c r="B181" s="65"/>
      <c r="C181" s="66"/>
      <c r="D181" s="66"/>
      <c r="E181" s="66"/>
      <c r="F181" s="66"/>
      <c r="G181" s="66"/>
      <c r="H181" s="66"/>
      <c r="I181" s="66"/>
      <c r="J181" s="66"/>
      <c r="K181" s="82"/>
      <c r="L181" s="82"/>
      <c r="M181" s="82"/>
      <c r="N181" s="82"/>
      <c r="O181" s="82"/>
      <c r="P181" s="82"/>
      <c r="Q181" s="82"/>
      <c r="R181" s="82"/>
      <c r="S181" s="82"/>
      <c r="T181" s="82"/>
      <c r="U181" s="82"/>
      <c r="V181" s="82"/>
      <c r="W181" s="82"/>
      <c r="X181" s="82"/>
    </row>
    <row r="182" spans="2:24" x14ac:dyDescent="0.25">
      <c r="B182" s="65"/>
      <c r="C182" s="66"/>
      <c r="D182" s="66"/>
      <c r="E182" s="66"/>
      <c r="F182" s="66"/>
      <c r="G182" s="66"/>
      <c r="H182" s="66"/>
      <c r="I182" s="66"/>
      <c r="J182" s="66"/>
      <c r="K182" s="82"/>
      <c r="L182" s="82"/>
      <c r="M182" s="82"/>
      <c r="N182" s="82"/>
      <c r="O182" s="82"/>
      <c r="P182" s="82"/>
      <c r="Q182" s="82"/>
      <c r="R182" s="82"/>
      <c r="S182" s="82"/>
      <c r="T182" s="82"/>
      <c r="U182" s="82"/>
      <c r="V182" s="82"/>
      <c r="W182" s="82"/>
      <c r="X182" s="82"/>
    </row>
    <row r="183" spans="2:24" x14ac:dyDescent="0.25">
      <c r="B183" s="65"/>
      <c r="C183" s="66"/>
      <c r="D183" s="66"/>
      <c r="E183" s="66"/>
      <c r="F183" s="66"/>
      <c r="G183" s="66"/>
      <c r="H183" s="66"/>
      <c r="I183" s="66"/>
      <c r="J183" s="66"/>
      <c r="K183" s="82"/>
      <c r="L183" s="82"/>
      <c r="M183" s="82"/>
      <c r="N183" s="82"/>
      <c r="O183" s="82"/>
      <c r="P183" s="82"/>
      <c r="Q183" s="82"/>
      <c r="R183" s="82"/>
      <c r="S183" s="82"/>
      <c r="T183" s="82"/>
      <c r="U183" s="82"/>
      <c r="V183" s="82"/>
      <c r="W183" s="82"/>
      <c r="X183" s="82"/>
    </row>
    <row r="184" spans="2:24" x14ac:dyDescent="0.25">
      <c r="B184" s="65"/>
      <c r="C184" s="66"/>
      <c r="D184" s="66"/>
      <c r="E184" s="66"/>
      <c r="F184" s="66"/>
      <c r="G184" s="66"/>
      <c r="H184" s="66"/>
      <c r="I184" s="66"/>
      <c r="J184" s="66"/>
      <c r="K184" s="82"/>
      <c r="L184" s="82"/>
      <c r="M184" s="82"/>
      <c r="N184" s="82"/>
      <c r="O184" s="82"/>
      <c r="P184" s="82"/>
      <c r="Q184" s="82"/>
      <c r="R184" s="82"/>
      <c r="S184" s="82"/>
      <c r="T184" s="82"/>
      <c r="U184" s="82"/>
      <c r="V184" s="82"/>
      <c r="W184" s="82"/>
      <c r="X184" s="82"/>
    </row>
    <row r="185" spans="2:24" x14ac:dyDescent="0.25">
      <c r="B185" s="65"/>
      <c r="C185" s="66"/>
      <c r="D185" s="66"/>
      <c r="E185" s="66"/>
      <c r="F185" s="66"/>
      <c r="G185" s="66"/>
      <c r="H185" s="66"/>
      <c r="I185" s="66"/>
      <c r="J185" s="66"/>
      <c r="K185" s="82"/>
      <c r="L185" s="82"/>
      <c r="M185" s="82"/>
      <c r="N185" s="82"/>
      <c r="O185" s="82"/>
      <c r="P185" s="82"/>
      <c r="Q185" s="82"/>
      <c r="R185" s="82"/>
      <c r="S185" s="82"/>
      <c r="T185" s="82"/>
      <c r="U185" s="82"/>
      <c r="V185" s="82"/>
      <c r="W185" s="82"/>
      <c r="X185" s="82"/>
    </row>
    <row r="186" spans="2:24" x14ac:dyDescent="0.25">
      <c r="B186" s="65"/>
      <c r="C186" s="66"/>
      <c r="D186" s="66"/>
      <c r="E186" s="66"/>
      <c r="F186" s="66"/>
      <c r="G186" s="66"/>
      <c r="H186" s="66"/>
      <c r="I186" s="66"/>
      <c r="J186" s="66"/>
      <c r="K186" s="82"/>
      <c r="L186" s="82"/>
      <c r="M186" s="82"/>
      <c r="N186" s="82"/>
      <c r="O186" s="82"/>
      <c r="P186" s="82"/>
      <c r="Q186" s="82"/>
      <c r="R186" s="82"/>
      <c r="S186" s="82"/>
      <c r="T186" s="82"/>
      <c r="U186" s="82"/>
      <c r="V186" s="82"/>
      <c r="W186" s="82"/>
      <c r="X186" s="82"/>
    </row>
    <row r="187" spans="2:24" x14ac:dyDescent="0.25">
      <c r="B187" s="65"/>
      <c r="C187" s="66"/>
      <c r="D187" s="66"/>
      <c r="E187" s="66"/>
      <c r="F187" s="66"/>
      <c r="G187" s="66"/>
      <c r="H187" s="66"/>
      <c r="I187" s="66"/>
      <c r="J187" s="66"/>
      <c r="K187" s="82"/>
      <c r="L187" s="82"/>
      <c r="M187" s="82"/>
      <c r="N187" s="82"/>
      <c r="O187" s="82"/>
      <c r="P187" s="82"/>
      <c r="Q187" s="82"/>
      <c r="R187" s="82"/>
      <c r="S187" s="82"/>
      <c r="T187" s="82"/>
      <c r="U187" s="82"/>
      <c r="V187" s="82"/>
      <c r="W187" s="82"/>
      <c r="X187" s="82"/>
    </row>
    <row r="188" spans="2:24" x14ac:dyDescent="0.25">
      <c r="B188" s="65"/>
      <c r="C188" s="66"/>
      <c r="D188" s="66"/>
      <c r="E188" s="66"/>
      <c r="F188" s="66"/>
      <c r="G188" s="66"/>
      <c r="H188" s="66"/>
      <c r="I188" s="66"/>
      <c r="J188" s="66"/>
      <c r="K188" s="82"/>
      <c r="L188" s="82"/>
      <c r="M188" s="82"/>
      <c r="N188" s="82"/>
      <c r="O188" s="82"/>
      <c r="P188" s="82"/>
      <c r="Q188" s="82"/>
      <c r="R188" s="82"/>
      <c r="S188" s="82"/>
      <c r="T188" s="82"/>
      <c r="U188" s="82"/>
      <c r="V188" s="82"/>
      <c r="W188" s="82"/>
      <c r="X188" s="82"/>
    </row>
    <row r="189" spans="2:24" x14ac:dyDescent="0.25">
      <c r="B189" s="65"/>
      <c r="C189" s="66"/>
      <c r="D189" s="66"/>
      <c r="E189" s="66"/>
      <c r="F189" s="66"/>
      <c r="G189" s="66"/>
      <c r="H189" s="66"/>
      <c r="I189" s="66"/>
      <c r="J189" s="66"/>
      <c r="K189" s="82"/>
      <c r="L189" s="82"/>
      <c r="M189" s="82"/>
      <c r="N189" s="82"/>
      <c r="O189" s="82"/>
      <c r="P189" s="82"/>
      <c r="Q189" s="82"/>
      <c r="R189" s="82"/>
      <c r="S189" s="82"/>
      <c r="T189" s="82"/>
      <c r="U189" s="82"/>
      <c r="V189" s="82"/>
      <c r="W189" s="82"/>
      <c r="X189" s="82"/>
    </row>
    <row r="190" spans="2:24" x14ac:dyDescent="0.25">
      <c r="B190" s="65"/>
      <c r="C190" s="66"/>
      <c r="D190" s="66"/>
      <c r="E190" s="66"/>
      <c r="F190" s="66"/>
      <c r="G190" s="66"/>
      <c r="H190" s="66"/>
      <c r="I190" s="66"/>
      <c r="J190" s="66"/>
      <c r="K190" s="82"/>
      <c r="L190" s="82"/>
      <c r="M190" s="82"/>
      <c r="N190" s="82"/>
      <c r="O190" s="82"/>
      <c r="P190" s="82"/>
      <c r="Q190" s="82"/>
      <c r="R190" s="82"/>
      <c r="S190" s="82"/>
      <c r="T190" s="82"/>
      <c r="U190" s="82"/>
      <c r="V190" s="82"/>
      <c r="W190" s="82"/>
      <c r="X190" s="82"/>
    </row>
    <row r="191" spans="2:24" x14ac:dyDescent="0.25">
      <c r="B191" s="65"/>
      <c r="C191" s="66"/>
      <c r="D191" s="66"/>
      <c r="E191" s="66"/>
      <c r="F191" s="66"/>
      <c r="G191" s="66"/>
      <c r="H191" s="66"/>
      <c r="I191" s="66"/>
      <c r="J191" s="66"/>
      <c r="K191" s="82"/>
      <c r="L191" s="82"/>
      <c r="M191" s="82"/>
      <c r="N191" s="82"/>
      <c r="O191" s="82"/>
      <c r="P191" s="82"/>
      <c r="Q191" s="82"/>
      <c r="R191" s="82"/>
      <c r="S191" s="82"/>
      <c r="T191" s="82"/>
      <c r="U191" s="82"/>
      <c r="V191" s="82"/>
      <c r="W191" s="82"/>
      <c r="X191" s="82"/>
    </row>
    <row r="192" spans="2:24" x14ac:dyDescent="0.25">
      <c r="B192" s="65"/>
      <c r="C192" s="66"/>
      <c r="D192" s="66"/>
      <c r="E192" s="66"/>
      <c r="F192" s="66"/>
      <c r="G192" s="66"/>
      <c r="H192" s="66"/>
      <c r="I192" s="66"/>
      <c r="J192" s="66"/>
      <c r="K192" s="82"/>
      <c r="L192" s="82"/>
      <c r="M192" s="82"/>
      <c r="N192" s="82"/>
      <c r="O192" s="82"/>
      <c r="P192" s="82"/>
      <c r="Q192" s="82"/>
      <c r="R192" s="82"/>
      <c r="S192" s="82"/>
      <c r="T192" s="82"/>
      <c r="U192" s="82"/>
      <c r="V192" s="82"/>
      <c r="W192" s="82"/>
      <c r="X192" s="82"/>
    </row>
    <row r="193" spans="2:24" x14ac:dyDescent="0.25">
      <c r="B193" s="65"/>
      <c r="C193" s="66"/>
      <c r="D193" s="66"/>
      <c r="E193" s="66"/>
      <c r="F193" s="66"/>
      <c r="G193" s="66"/>
      <c r="H193" s="66"/>
      <c r="I193" s="66"/>
      <c r="J193" s="66"/>
      <c r="K193" s="82"/>
      <c r="L193" s="82"/>
      <c r="M193" s="82"/>
      <c r="N193" s="82"/>
      <c r="O193" s="82"/>
      <c r="P193" s="82"/>
      <c r="Q193" s="82"/>
      <c r="R193" s="82"/>
      <c r="S193" s="82"/>
      <c r="T193" s="82"/>
      <c r="U193" s="82"/>
      <c r="V193" s="82"/>
      <c r="W193" s="82"/>
      <c r="X193" s="82"/>
    </row>
    <row r="194" spans="2:24" x14ac:dyDescent="0.25">
      <c r="B194" s="65"/>
      <c r="C194" s="66"/>
      <c r="D194" s="66"/>
      <c r="E194" s="66"/>
      <c r="F194" s="66"/>
      <c r="G194" s="66"/>
      <c r="H194" s="66"/>
      <c r="I194" s="66"/>
      <c r="J194" s="66"/>
      <c r="K194" s="82"/>
      <c r="L194" s="82"/>
      <c r="M194" s="82"/>
      <c r="N194" s="82"/>
      <c r="O194" s="82"/>
      <c r="P194" s="82"/>
      <c r="Q194" s="82"/>
      <c r="R194" s="82"/>
      <c r="S194" s="82"/>
      <c r="T194" s="82"/>
      <c r="U194" s="82"/>
      <c r="V194" s="82"/>
      <c r="W194" s="82"/>
      <c r="X194" s="82"/>
    </row>
    <row r="195" spans="2:24" x14ac:dyDescent="0.25">
      <c r="B195" s="65"/>
      <c r="C195" s="66"/>
      <c r="D195" s="66"/>
      <c r="E195" s="66"/>
      <c r="F195" s="66"/>
      <c r="G195" s="66"/>
      <c r="H195" s="66"/>
      <c r="I195" s="66"/>
      <c r="J195" s="66"/>
      <c r="K195" s="82"/>
      <c r="L195" s="82"/>
      <c r="M195" s="82"/>
      <c r="N195" s="82"/>
      <c r="O195" s="82"/>
      <c r="P195" s="82"/>
      <c r="Q195" s="82"/>
      <c r="R195" s="82"/>
      <c r="S195" s="82"/>
      <c r="T195" s="82"/>
      <c r="U195" s="82"/>
      <c r="V195" s="82"/>
      <c r="W195" s="82"/>
      <c r="X195" s="82"/>
    </row>
    <row r="196" spans="2:24" x14ac:dyDescent="0.25">
      <c r="B196" s="65"/>
      <c r="C196" s="66"/>
      <c r="D196" s="66"/>
      <c r="E196" s="66"/>
      <c r="F196" s="66"/>
      <c r="G196" s="66"/>
      <c r="H196" s="66"/>
      <c r="I196" s="66"/>
      <c r="J196" s="66"/>
      <c r="K196" s="82"/>
      <c r="L196" s="82"/>
      <c r="M196" s="82"/>
      <c r="N196" s="82"/>
      <c r="O196" s="82"/>
      <c r="P196" s="82"/>
      <c r="Q196" s="82"/>
      <c r="R196" s="82"/>
      <c r="S196" s="82"/>
      <c r="T196" s="82"/>
      <c r="U196" s="82"/>
      <c r="V196" s="82"/>
      <c r="W196" s="82"/>
      <c r="X196" s="82"/>
    </row>
    <row r="197" spans="2:24" x14ac:dyDescent="0.25">
      <c r="B197" s="65"/>
      <c r="C197" s="66"/>
      <c r="D197" s="66"/>
      <c r="E197" s="66"/>
      <c r="F197" s="66"/>
      <c r="G197" s="66"/>
      <c r="H197" s="66"/>
      <c r="I197" s="66"/>
      <c r="J197" s="66"/>
      <c r="K197" s="82"/>
      <c r="L197" s="82"/>
      <c r="M197" s="82"/>
      <c r="N197" s="82"/>
      <c r="O197" s="82"/>
      <c r="P197" s="82"/>
      <c r="Q197" s="82"/>
      <c r="R197" s="82"/>
      <c r="S197" s="82"/>
      <c r="T197" s="82"/>
      <c r="U197" s="82"/>
      <c r="V197" s="82"/>
      <c r="W197" s="82"/>
      <c r="X197" s="82"/>
    </row>
    <row r="198" spans="2:24" x14ac:dyDescent="0.25">
      <c r="B198" s="65"/>
      <c r="C198" s="66"/>
      <c r="D198" s="66"/>
      <c r="E198" s="66"/>
      <c r="F198" s="66"/>
      <c r="G198" s="66"/>
      <c r="H198" s="66"/>
      <c r="I198" s="66"/>
      <c r="J198" s="66"/>
      <c r="K198" s="82"/>
      <c r="L198" s="82"/>
      <c r="M198" s="82"/>
      <c r="N198" s="82"/>
      <c r="O198" s="82"/>
      <c r="P198" s="82"/>
      <c r="Q198" s="82"/>
      <c r="R198" s="82"/>
      <c r="S198" s="82"/>
      <c r="T198" s="82"/>
      <c r="U198" s="82"/>
      <c r="V198" s="82"/>
      <c r="W198" s="82"/>
      <c r="X198" s="82"/>
    </row>
    <row r="199" spans="2:24" x14ac:dyDescent="0.25">
      <c r="B199" s="65"/>
      <c r="C199" s="66"/>
      <c r="D199" s="66"/>
      <c r="E199" s="66"/>
      <c r="F199" s="66"/>
      <c r="G199" s="66"/>
      <c r="H199" s="66"/>
      <c r="I199" s="66"/>
      <c r="J199" s="66"/>
      <c r="K199" s="82"/>
      <c r="L199" s="82"/>
      <c r="M199" s="82"/>
      <c r="N199" s="82"/>
      <c r="O199" s="82"/>
      <c r="P199" s="82"/>
      <c r="Q199" s="82"/>
      <c r="R199" s="82"/>
      <c r="S199" s="82"/>
      <c r="T199" s="82"/>
      <c r="U199" s="82"/>
      <c r="V199" s="82"/>
      <c r="W199" s="82"/>
      <c r="X199" s="82"/>
    </row>
    <row r="200" spans="2:24" x14ac:dyDescent="0.25">
      <c r="B200" s="65"/>
      <c r="C200" s="66"/>
      <c r="D200" s="66"/>
      <c r="E200" s="66"/>
      <c r="F200" s="66"/>
      <c r="G200" s="66"/>
      <c r="H200" s="66"/>
      <c r="I200" s="66"/>
      <c r="J200" s="66"/>
      <c r="K200" s="82"/>
      <c r="L200" s="82"/>
      <c r="M200" s="82"/>
      <c r="N200" s="82"/>
      <c r="O200" s="82"/>
      <c r="P200" s="82"/>
      <c r="Q200" s="82"/>
      <c r="R200" s="82"/>
      <c r="S200" s="82"/>
      <c r="T200" s="82"/>
      <c r="U200" s="82"/>
      <c r="V200" s="82"/>
      <c r="W200" s="82"/>
      <c r="X200" s="82"/>
    </row>
    <row r="201" spans="2:24" x14ac:dyDescent="0.25">
      <c r="B201" s="65"/>
      <c r="C201" s="66"/>
      <c r="D201" s="66"/>
      <c r="E201" s="66"/>
      <c r="F201" s="66"/>
      <c r="G201" s="66"/>
      <c r="H201" s="66"/>
      <c r="I201" s="66"/>
      <c r="J201" s="66"/>
      <c r="K201" s="82"/>
      <c r="L201" s="82"/>
      <c r="M201" s="82"/>
      <c r="N201" s="82"/>
      <c r="O201" s="82"/>
      <c r="P201" s="82"/>
      <c r="Q201" s="82"/>
      <c r="R201" s="82"/>
      <c r="S201" s="82"/>
      <c r="T201" s="82"/>
      <c r="U201" s="82"/>
      <c r="V201" s="82"/>
      <c r="W201" s="82"/>
      <c r="X201" s="82"/>
    </row>
    <row r="202" spans="2:24" x14ac:dyDescent="0.25">
      <c r="B202" s="65"/>
      <c r="C202" s="66"/>
      <c r="D202" s="66"/>
      <c r="E202" s="66"/>
      <c r="F202" s="66"/>
      <c r="G202" s="66"/>
      <c r="H202" s="66"/>
      <c r="I202" s="66"/>
      <c r="J202" s="66"/>
      <c r="K202" s="82"/>
      <c r="L202" s="82"/>
      <c r="M202" s="82"/>
      <c r="N202" s="82"/>
      <c r="O202" s="82"/>
      <c r="P202" s="82"/>
      <c r="Q202" s="82"/>
      <c r="R202" s="82"/>
      <c r="S202" s="82"/>
      <c r="T202" s="82"/>
      <c r="U202" s="82"/>
      <c r="V202" s="82"/>
      <c r="W202" s="82"/>
      <c r="X202" s="82"/>
    </row>
    <row r="203" spans="2:24" x14ac:dyDescent="0.25">
      <c r="B203" s="65"/>
      <c r="C203" s="66"/>
      <c r="D203" s="66"/>
      <c r="E203" s="66"/>
      <c r="F203" s="66"/>
      <c r="G203" s="66"/>
      <c r="H203" s="66"/>
      <c r="I203" s="66"/>
      <c r="J203" s="66"/>
      <c r="K203" s="82"/>
      <c r="L203" s="82"/>
      <c r="M203" s="82"/>
      <c r="N203" s="82"/>
      <c r="O203" s="82"/>
      <c r="P203" s="82"/>
      <c r="Q203" s="82"/>
      <c r="R203" s="82"/>
      <c r="S203" s="82"/>
      <c r="T203" s="82"/>
      <c r="U203" s="82"/>
      <c r="V203" s="82"/>
      <c r="W203" s="82"/>
      <c r="X203" s="82"/>
    </row>
    <row r="204" spans="2:24" x14ac:dyDescent="0.25">
      <c r="B204" s="65"/>
      <c r="C204" s="66"/>
      <c r="D204" s="66"/>
      <c r="E204" s="66"/>
      <c r="F204" s="66"/>
      <c r="G204" s="66"/>
      <c r="H204" s="66"/>
      <c r="I204" s="66"/>
      <c r="J204" s="66"/>
      <c r="K204" s="82"/>
      <c r="L204" s="82"/>
      <c r="M204" s="82"/>
      <c r="N204" s="82"/>
      <c r="O204" s="82"/>
      <c r="P204" s="82"/>
      <c r="Q204" s="82"/>
      <c r="R204" s="82"/>
      <c r="S204" s="82"/>
      <c r="T204" s="82"/>
      <c r="U204" s="82"/>
      <c r="V204" s="82"/>
      <c r="W204" s="82"/>
      <c r="X204" s="82"/>
    </row>
    <row r="205" spans="2:24" x14ac:dyDescent="0.25">
      <c r="B205" s="65"/>
      <c r="C205" s="66"/>
      <c r="D205" s="66"/>
      <c r="E205" s="66"/>
      <c r="F205" s="66"/>
      <c r="G205" s="66"/>
      <c r="H205" s="66"/>
      <c r="I205" s="66"/>
      <c r="J205" s="66"/>
      <c r="K205" s="82"/>
      <c r="L205" s="82"/>
      <c r="M205" s="82"/>
      <c r="N205" s="82"/>
      <c r="O205" s="82"/>
      <c r="P205" s="82"/>
      <c r="Q205" s="82"/>
      <c r="R205" s="82"/>
      <c r="S205" s="82"/>
      <c r="T205" s="82"/>
      <c r="U205" s="82"/>
      <c r="V205" s="82"/>
      <c r="W205" s="82"/>
      <c r="X205" s="82"/>
    </row>
    <row r="206" spans="2:24" x14ac:dyDescent="0.25">
      <c r="B206" s="65"/>
      <c r="C206" s="66"/>
      <c r="D206" s="66"/>
      <c r="E206" s="66"/>
      <c r="F206" s="66"/>
      <c r="G206" s="66"/>
      <c r="H206" s="66"/>
      <c r="I206" s="66"/>
      <c r="J206" s="66"/>
      <c r="K206" s="82"/>
      <c r="L206" s="82"/>
      <c r="M206" s="82"/>
      <c r="N206" s="82"/>
      <c r="O206" s="82"/>
      <c r="P206" s="82"/>
      <c r="Q206" s="82"/>
      <c r="R206" s="82"/>
      <c r="S206" s="82"/>
      <c r="T206" s="82"/>
      <c r="U206" s="82"/>
      <c r="V206" s="82"/>
      <c r="W206" s="82"/>
      <c r="X206" s="82"/>
    </row>
    <row r="207" spans="2:24" x14ac:dyDescent="0.25">
      <c r="B207" s="65"/>
      <c r="C207" s="66"/>
      <c r="D207" s="66"/>
      <c r="E207" s="66"/>
      <c r="F207" s="66"/>
      <c r="G207" s="66"/>
      <c r="H207" s="66"/>
      <c r="I207" s="66"/>
      <c r="J207" s="66"/>
      <c r="K207" s="82"/>
      <c r="L207" s="82"/>
      <c r="M207" s="82"/>
      <c r="N207" s="82"/>
      <c r="O207" s="82"/>
      <c r="P207" s="82"/>
      <c r="Q207" s="82"/>
      <c r="R207" s="82"/>
      <c r="S207" s="82"/>
      <c r="T207" s="82"/>
      <c r="U207" s="82"/>
      <c r="V207" s="82"/>
      <c r="W207" s="82"/>
      <c r="X207" s="82"/>
    </row>
    <row r="208" spans="2:24" x14ac:dyDescent="0.25">
      <c r="B208" s="65"/>
      <c r="C208" s="66"/>
      <c r="D208" s="66"/>
      <c r="E208" s="66"/>
      <c r="F208" s="66"/>
      <c r="G208" s="66"/>
      <c r="H208" s="66"/>
      <c r="I208" s="66"/>
      <c r="J208" s="66"/>
      <c r="K208" s="82"/>
      <c r="L208" s="82"/>
      <c r="M208" s="82"/>
      <c r="N208" s="82"/>
      <c r="O208" s="82"/>
      <c r="P208" s="82"/>
      <c r="Q208" s="82"/>
      <c r="R208" s="82"/>
      <c r="S208" s="82"/>
      <c r="T208" s="82"/>
      <c r="U208" s="82"/>
      <c r="V208" s="82"/>
      <c r="W208" s="82"/>
      <c r="X208" s="82"/>
    </row>
    <row r="209" spans="2:24" x14ac:dyDescent="0.25">
      <c r="B209" s="65"/>
      <c r="C209" s="66"/>
      <c r="D209" s="66"/>
      <c r="E209" s="66"/>
      <c r="F209" s="66"/>
      <c r="G209" s="66"/>
      <c r="H209" s="66"/>
      <c r="I209" s="66"/>
      <c r="J209" s="66"/>
      <c r="K209" s="82"/>
      <c r="L209" s="82"/>
      <c r="M209" s="82"/>
      <c r="N209" s="82"/>
      <c r="O209" s="82"/>
      <c r="P209" s="82"/>
      <c r="Q209" s="82"/>
      <c r="R209" s="82"/>
      <c r="S209" s="82"/>
      <c r="T209" s="82"/>
      <c r="U209" s="82"/>
      <c r="V209" s="82"/>
      <c r="W209" s="82"/>
      <c r="X209" s="82"/>
    </row>
    <row r="210" spans="2:24" x14ac:dyDescent="0.25">
      <c r="B210" s="65"/>
      <c r="C210" s="66"/>
      <c r="D210" s="66"/>
      <c r="E210" s="66"/>
      <c r="F210" s="66"/>
      <c r="G210" s="66"/>
      <c r="H210" s="66"/>
      <c r="I210" s="66"/>
      <c r="J210" s="66"/>
      <c r="K210" s="82"/>
      <c r="L210" s="82"/>
      <c r="M210" s="82"/>
      <c r="N210" s="82"/>
      <c r="O210" s="82"/>
      <c r="P210" s="82"/>
      <c r="Q210" s="82"/>
      <c r="R210" s="82"/>
      <c r="S210" s="82"/>
      <c r="T210" s="82"/>
      <c r="U210" s="82"/>
      <c r="V210" s="82"/>
      <c r="W210" s="82"/>
      <c r="X210" s="82"/>
    </row>
    <row r="211" spans="2:24" x14ac:dyDescent="0.25">
      <c r="B211" s="65"/>
      <c r="C211" s="66"/>
      <c r="D211" s="66"/>
      <c r="E211" s="66"/>
      <c r="F211" s="66"/>
      <c r="G211" s="66"/>
      <c r="H211" s="66"/>
      <c r="I211" s="66"/>
      <c r="J211" s="66"/>
      <c r="K211" s="82"/>
      <c r="L211" s="82"/>
      <c r="M211" s="82"/>
      <c r="N211" s="82"/>
      <c r="O211" s="82"/>
      <c r="P211" s="82"/>
      <c r="Q211" s="82"/>
      <c r="R211" s="82"/>
      <c r="S211" s="82"/>
      <c r="T211" s="82"/>
      <c r="U211" s="82"/>
      <c r="V211" s="82"/>
      <c r="W211" s="82"/>
      <c r="X211" s="82"/>
    </row>
    <row r="212" spans="2:24" x14ac:dyDescent="0.25">
      <c r="B212" s="65"/>
      <c r="C212" s="66"/>
      <c r="D212" s="66"/>
      <c r="E212" s="66"/>
      <c r="F212" s="66"/>
      <c r="G212" s="66"/>
      <c r="H212" s="66"/>
      <c r="I212" s="66"/>
      <c r="J212" s="66"/>
      <c r="K212" s="82"/>
      <c r="L212" s="82"/>
      <c r="M212" s="82"/>
      <c r="N212" s="82"/>
      <c r="O212" s="82"/>
      <c r="P212" s="82"/>
      <c r="Q212" s="82"/>
      <c r="R212" s="82"/>
      <c r="S212" s="82"/>
      <c r="T212" s="82"/>
      <c r="U212" s="82"/>
      <c r="V212" s="82"/>
      <c r="W212" s="82"/>
      <c r="X212" s="82"/>
    </row>
    <row r="213" spans="2:24" x14ac:dyDescent="0.25">
      <c r="B213" s="65"/>
      <c r="C213" s="66"/>
      <c r="D213" s="66"/>
      <c r="E213" s="66"/>
      <c r="F213" s="66"/>
      <c r="G213" s="66"/>
      <c r="H213" s="66"/>
      <c r="I213" s="66"/>
      <c r="J213" s="66"/>
      <c r="K213" s="82"/>
      <c r="L213" s="82"/>
      <c r="M213" s="82"/>
      <c r="N213" s="82"/>
      <c r="O213" s="82"/>
      <c r="P213" s="82"/>
      <c r="Q213" s="82"/>
      <c r="R213" s="82"/>
      <c r="S213" s="82"/>
      <c r="T213" s="82"/>
      <c r="U213" s="82"/>
      <c r="V213" s="82"/>
      <c r="W213" s="82"/>
      <c r="X213" s="82"/>
    </row>
    <row r="214" spans="2:24" x14ac:dyDescent="0.25">
      <c r="B214" s="65"/>
      <c r="C214" s="66"/>
      <c r="D214" s="66"/>
      <c r="E214" s="66"/>
      <c r="F214" s="66"/>
      <c r="G214" s="66"/>
      <c r="H214" s="66"/>
      <c r="I214" s="66"/>
      <c r="J214" s="66"/>
      <c r="K214" s="82"/>
      <c r="L214" s="82"/>
      <c r="M214" s="82"/>
      <c r="N214" s="82"/>
      <c r="O214" s="82"/>
      <c r="P214" s="82"/>
      <c r="Q214" s="82"/>
      <c r="R214" s="82"/>
      <c r="S214" s="82"/>
      <c r="T214" s="82"/>
      <c r="U214" s="82"/>
      <c r="V214" s="82"/>
      <c r="W214" s="82"/>
      <c r="X214" s="82"/>
    </row>
    <row r="215" spans="2:24" x14ac:dyDescent="0.25">
      <c r="B215" s="65"/>
      <c r="C215" s="66"/>
      <c r="D215" s="66"/>
      <c r="E215" s="66"/>
      <c r="F215" s="66"/>
      <c r="G215" s="66"/>
      <c r="H215" s="66"/>
      <c r="I215" s="66"/>
      <c r="J215" s="66"/>
      <c r="K215" s="82"/>
      <c r="L215" s="82"/>
      <c r="M215" s="82"/>
      <c r="N215" s="82"/>
      <c r="O215" s="82"/>
      <c r="P215" s="82"/>
      <c r="Q215" s="82"/>
      <c r="R215" s="82"/>
      <c r="S215" s="82"/>
      <c r="T215" s="82"/>
      <c r="U215" s="82"/>
      <c r="V215" s="82"/>
      <c r="W215" s="82"/>
      <c r="X215" s="82"/>
    </row>
    <row r="216" spans="2:24" x14ac:dyDescent="0.25">
      <c r="B216" s="65"/>
      <c r="C216" s="66"/>
      <c r="D216" s="66"/>
      <c r="E216" s="66"/>
      <c r="F216" s="66"/>
      <c r="G216" s="66"/>
      <c r="H216" s="66"/>
      <c r="I216" s="66"/>
      <c r="J216" s="66"/>
      <c r="K216" s="82"/>
      <c r="L216" s="82"/>
      <c r="M216" s="82"/>
      <c r="N216" s="82"/>
      <c r="O216" s="82"/>
      <c r="P216" s="82"/>
      <c r="Q216" s="82"/>
      <c r="R216" s="82"/>
      <c r="S216" s="82"/>
      <c r="T216" s="82"/>
      <c r="U216" s="82"/>
      <c r="V216" s="82"/>
      <c r="W216" s="82"/>
      <c r="X216" s="82"/>
    </row>
    <row r="217" spans="2:24" x14ac:dyDescent="0.25">
      <c r="B217" s="65"/>
      <c r="C217" s="66"/>
      <c r="D217" s="66"/>
      <c r="E217" s="66"/>
      <c r="F217" s="66"/>
      <c r="G217" s="66"/>
      <c r="H217" s="66"/>
      <c r="I217" s="66"/>
      <c r="J217" s="66"/>
      <c r="K217" s="82"/>
      <c r="L217" s="82"/>
      <c r="M217" s="82"/>
      <c r="N217" s="82"/>
      <c r="O217" s="82"/>
      <c r="P217" s="82"/>
      <c r="Q217" s="82"/>
      <c r="R217" s="82"/>
      <c r="S217" s="82"/>
      <c r="T217" s="82"/>
      <c r="U217" s="82"/>
      <c r="V217" s="82"/>
      <c r="W217" s="82"/>
      <c r="X217" s="82"/>
    </row>
    <row r="218" spans="2:24" x14ac:dyDescent="0.25">
      <c r="B218" s="65"/>
      <c r="C218" s="66"/>
      <c r="D218" s="66"/>
      <c r="E218" s="66"/>
      <c r="F218" s="66"/>
      <c r="G218" s="66"/>
      <c r="H218" s="66"/>
      <c r="I218" s="66"/>
      <c r="J218" s="66"/>
      <c r="K218" s="82"/>
      <c r="L218" s="82"/>
      <c r="M218" s="82"/>
      <c r="N218" s="82"/>
      <c r="O218" s="82"/>
      <c r="P218" s="82"/>
      <c r="Q218" s="82"/>
      <c r="R218" s="82"/>
      <c r="S218" s="82"/>
      <c r="T218" s="82"/>
      <c r="U218" s="82"/>
      <c r="V218" s="82"/>
      <c r="W218" s="82"/>
      <c r="X218" s="82"/>
    </row>
    <row r="219" spans="2:24" x14ac:dyDescent="0.25">
      <c r="B219" s="65"/>
      <c r="C219" s="66"/>
      <c r="D219" s="66"/>
      <c r="E219" s="66"/>
      <c r="F219" s="66"/>
      <c r="G219" s="66"/>
      <c r="H219" s="66"/>
      <c r="I219" s="66"/>
      <c r="J219" s="66"/>
      <c r="K219" s="82"/>
      <c r="L219" s="82"/>
      <c r="M219" s="82"/>
      <c r="N219" s="82"/>
      <c r="O219" s="82"/>
      <c r="P219" s="82"/>
      <c r="Q219" s="82"/>
      <c r="R219" s="82"/>
      <c r="S219" s="82"/>
      <c r="T219" s="82"/>
      <c r="U219" s="82"/>
      <c r="V219" s="82"/>
      <c r="W219" s="82"/>
      <c r="X219" s="82"/>
    </row>
    <row r="220" spans="2:24" x14ac:dyDescent="0.25">
      <c r="B220" s="65"/>
      <c r="C220" s="66"/>
      <c r="D220" s="66"/>
      <c r="E220" s="66"/>
      <c r="F220" s="66"/>
      <c r="G220" s="66"/>
      <c r="H220" s="66"/>
      <c r="I220" s="66"/>
      <c r="J220" s="66"/>
      <c r="K220" s="82"/>
      <c r="L220" s="82"/>
      <c r="M220" s="82"/>
      <c r="N220" s="82"/>
      <c r="O220" s="82"/>
      <c r="P220" s="82"/>
      <c r="Q220" s="82"/>
      <c r="R220" s="82"/>
      <c r="S220" s="82"/>
      <c r="T220" s="82"/>
      <c r="U220" s="82"/>
      <c r="V220" s="82"/>
      <c r="W220" s="82"/>
      <c r="X220" s="82"/>
    </row>
    <row r="221" spans="2:24" x14ac:dyDescent="0.25">
      <c r="B221" s="65"/>
      <c r="C221" s="66"/>
      <c r="D221" s="66"/>
      <c r="E221" s="66"/>
      <c r="F221" s="66"/>
      <c r="G221" s="66"/>
      <c r="H221" s="66"/>
      <c r="I221" s="66"/>
      <c r="J221" s="66"/>
      <c r="K221" s="82"/>
      <c r="L221" s="82"/>
      <c r="M221" s="82"/>
      <c r="N221" s="82"/>
      <c r="O221" s="82"/>
      <c r="P221" s="82"/>
      <c r="Q221" s="82"/>
      <c r="R221" s="82"/>
      <c r="S221" s="82"/>
      <c r="T221" s="82"/>
      <c r="U221" s="82"/>
      <c r="V221" s="82"/>
      <c r="W221" s="82"/>
      <c r="X221" s="82"/>
    </row>
    <row r="222" spans="2:24" x14ac:dyDescent="0.25">
      <c r="B222" s="65"/>
      <c r="C222" s="66"/>
      <c r="D222" s="66"/>
      <c r="E222" s="66"/>
      <c r="F222" s="66"/>
      <c r="G222" s="66"/>
      <c r="H222" s="66"/>
      <c r="I222" s="66"/>
      <c r="J222" s="66"/>
      <c r="K222" s="82"/>
      <c r="L222" s="82"/>
      <c r="M222" s="82"/>
      <c r="N222" s="82"/>
      <c r="O222" s="82"/>
      <c r="P222" s="82"/>
      <c r="Q222" s="82"/>
      <c r="R222" s="82"/>
      <c r="S222" s="82"/>
      <c r="T222" s="82"/>
      <c r="U222" s="82"/>
      <c r="V222" s="82"/>
      <c r="W222" s="82"/>
      <c r="X222" s="82"/>
    </row>
    <row r="223" spans="2:24" x14ac:dyDescent="0.25">
      <c r="B223" s="65"/>
      <c r="C223" s="66"/>
      <c r="D223" s="66"/>
      <c r="E223" s="66"/>
      <c r="F223" s="66"/>
      <c r="G223" s="66"/>
      <c r="H223" s="66"/>
      <c r="I223" s="66"/>
      <c r="J223" s="66"/>
      <c r="K223" s="82"/>
      <c r="L223" s="82"/>
      <c r="M223" s="82"/>
      <c r="N223" s="82"/>
      <c r="O223" s="82"/>
      <c r="P223" s="82"/>
      <c r="Q223" s="82"/>
      <c r="R223" s="82"/>
      <c r="S223" s="82"/>
      <c r="T223" s="82"/>
      <c r="U223" s="82"/>
      <c r="V223" s="82"/>
      <c r="W223" s="82"/>
      <c r="X223" s="82"/>
    </row>
    <row r="224" spans="2:24" x14ac:dyDescent="0.25">
      <c r="B224" s="65"/>
      <c r="C224" s="66"/>
      <c r="D224" s="66"/>
      <c r="E224" s="66"/>
      <c r="F224" s="66"/>
      <c r="G224" s="66"/>
      <c r="H224" s="66"/>
      <c r="I224" s="66"/>
      <c r="J224" s="66"/>
      <c r="K224" s="82"/>
      <c r="L224" s="82"/>
      <c r="M224" s="82"/>
      <c r="N224" s="82"/>
      <c r="O224" s="82"/>
      <c r="P224" s="82"/>
      <c r="Q224" s="82"/>
      <c r="R224" s="82"/>
      <c r="S224" s="82"/>
      <c r="T224" s="82"/>
      <c r="U224" s="82"/>
      <c r="V224" s="82"/>
      <c r="W224" s="82"/>
      <c r="X224" s="82"/>
    </row>
    <row r="225" spans="2:24" x14ac:dyDescent="0.25">
      <c r="B225" s="65"/>
      <c r="C225" s="66"/>
      <c r="D225" s="66"/>
      <c r="E225" s="66"/>
      <c r="F225" s="66"/>
      <c r="G225" s="66"/>
      <c r="H225" s="66"/>
      <c r="I225" s="66"/>
      <c r="J225" s="66"/>
      <c r="K225" s="82"/>
      <c r="L225" s="82"/>
      <c r="M225" s="82"/>
      <c r="N225" s="82"/>
      <c r="O225" s="82"/>
      <c r="P225" s="82"/>
      <c r="Q225" s="82"/>
      <c r="R225" s="82"/>
      <c r="S225" s="82"/>
      <c r="T225" s="82"/>
      <c r="U225" s="82"/>
      <c r="V225" s="82"/>
      <c r="W225" s="82"/>
      <c r="X225" s="82"/>
    </row>
    <row r="226" spans="2:24" x14ac:dyDescent="0.25">
      <c r="B226" s="65"/>
      <c r="C226" s="66"/>
      <c r="D226" s="66"/>
      <c r="E226" s="66"/>
      <c r="F226" s="66"/>
      <c r="G226" s="66"/>
      <c r="H226" s="66"/>
      <c r="I226" s="66"/>
      <c r="J226" s="66"/>
      <c r="K226" s="82"/>
      <c r="L226" s="82"/>
      <c r="M226" s="82"/>
      <c r="N226" s="82"/>
      <c r="O226" s="82"/>
      <c r="P226" s="82"/>
      <c r="Q226" s="82"/>
      <c r="R226" s="82"/>
      <c r="S226" s="82"/>
      <c r="T226" s="82"/>
      <c r="U226" s="82"/>
      <c r="V226" s="82"/>
      <c r="W226" s="82"/>
      <c r="X226" s="82"/>
    </row>
    <row r="227" spans="2:24" x14ac:dyDescent="0.25">
      <c r="B227" s="65"/>
      <c r="C227" s="66"/>
      <c r="D227" s="66"/>
      <c r="E227" s="66"/>
      <c r="F227" s="66"/>
      <c r="G227" s="66"/>
      <c r="H227" s="66"/>
      <c r="I227" s="66"/>
      <c r="J227" s="66"/>
      <c r="K227" s="82"/>
      <c r="L227" s="82"/>
      <c r="M227" s="82"/>
      <c r="N227" s="82"/>
      <c r="O227" s="82"/>
      <c r="P227" s="82"/>
      <c r="Q227" s="82"/>
      <c r="R227" s="82"/>
      <c r="S227" s="82"/>
      <c r="T227" s="82"/>
      <c r="U227" s="82"/>
      <c r="V227" s="82"/>
      <c r="W227" s="82"/>
      <c r="X227" s="82"/>
    </row>
    <row r="228" spans="2:24" x14ac:dyDescent="0.25">
      <c r="B228" s="65"/>
      <c r="C228" s="66"/>
      <c r="D228" s="66"/>
      <c r="E228" s="66"/>
      <c r="F228" s="66"/>
      <c r="G228" s="66"/>
      <c r="H228" s="66"/>
      <c r="I228" s="66"/>
      <c r="J228" s="66"/>
      <c r="K228" s="82"/>
      <c r="L228" s="82"/>
      <c r="M228" s="82"/>
      <c r="N228" s="82"/>
      <c r="O228" s="82"/>
      <c r="P228" s="82"/>
      <c r="Q228" s="82"/>
      <c r="R228" s="82"/>
      <c r="S228" s="82"/>
      <c r="T228" s="82"/>
      <c r="U228" s="82"/>
      <c r="V228" s="82"/>
      <c r="W228" s="82"/>
      <c r="X228" s="82"/>
    </row>
    <row r="229" spans="2:24" x14ac:dyDescent="0.25">
      <c r="B229" s="65"/>
      <c r="C229" s="66"/>
      <c r="D229" s="66"/>
      <c r="E229" s="66"/>
      <c r="F229" s="66"/>
      <c r="G229" s="66"/>
      <c r="H229" s="66"/>
      <c r="I229" s="66"/>
      <c r="J229" s="66"/>
      <c r="K229" s="82"/>
      <c r="L229" s="82"/>
      <c r="M229" s="82"/>
      <c r="N229" s="82"/>
      <c r="O229" s="82"/>
      <c r="P229" s="82"/>
      <c r="Q229" s="82"/>
      <c r="R229" s="82"/>
      <c r="S229" s="82"/>
      <c r="T229" s="82"/>
      <c r="U229" s="82"/>
      <c r="V229" s="82"/>
      <c r="W229" s="82"/>
      <c r="X229" s="82"/>
    </row>
    <row r="230" spans="2:24" x14ac:dyDescent="0.25">
      <c r="B230" s="65"/>
      <c r="C230" s="66"/>
      <c r="D230" s="66"/>
      <c r="E230" s="66"/>
      <c r="F230" s="66"/>
      <c r="G230" s="66"/>
      <c r="H230" s="66"/>
      <c r="I230" s="66"/>
      <c r="J230" s="66"/>
      <c r="K230" s="82"/>
      <c r="L230" s="82"/>
      <c r="M230" s="82"/>
      <c r="N230" s="82"/>
      <c r="O230" s="82"/>
      <c r="P230" s="82"/>
      <c r="Q230" s="82"/>
      <c r="R230" s="82"/>
      <c r="S230" s="82"/>
      <c r="T230" s="82"/>
      <c r="U230" s="82"/>
      <c r="V230" s="82"/>
      <c r="W230" s="82"/>
      <c r="X230" s="82"/>
    </row>
    <row r="231" spans="2:24" x14ac:dyDescent="0.25">
      <c r="B231" s="65"/>
      <c r="C231" s="66"/>
      <c r="D231" s="66"/>
      <c r="E231" s="66"/>
      <c r="F231" s="66"/>
      <c r="G231" s="66"/>
      <c r="H231" s="66"/>
      <c r="I231" s="66"/>
      <c r="J231" s="66"/>
      <c r="K231" s="82"/>
      <c r="L231" s="82"/>
      <c r="M231" s="82"/>
      <c r="N231" s="82"/>
      <c r="O231" s="82"/>
      <c r="P231" s="82"/>
      <c r="Q231" s="82"/>
      <c r="R231" s="82"/>
      <c r="S231" s="82"/>
      <c r="T231" s="82"/>
      <c r="U231" s="82"/>
      <c r="V231" s="82"/>
      <c r="W231" s="82"/>
      <c r="X231" s="82"/>
    </row>
    <row r="232" spans="2:24" x14ac:dyDescent="0.25">
      <c r="B232" s="65"/>
      <c r="C232" s="66"/>
      <c r="D232" s="66"/>
      <c r="E232" s="66"/>
      <c r="F232" s="66"/>
      <c r="G232" s="66"/>
      <c r="H232" s="66"/>
      <c r="I232" s="66"/>
      <c r="J232" s="66"/>
      <c r="K232" s="82"/>
      <c r="L232" s="82"/>
      <c r="M232" s="82"/>
      <c r="N232" s="82"/>
      <c r="O232" s="82"/>
      <c r="P232" s="82"/>
      <c r="Q232" s="82"/>
      <c r="R232" s="82"/>
      <c r="S232" s="82"/>
      <c r="T232" s="82"/>
      <c r="U232" s="82"/>
      <c r="V232" s="82"/>
      <c r="W232" s="82"/>
      <c r="X232" s="82"/>
    </row>
    <row r="233" spans="2:24" x14ac:dyDescent="0.25">
      <c r="B233" s="65"/>
      <c r="C233" s="66"/>
      <c r="D233" s="66"/>
      <c r="E233" s="66"/>
      <c r="F233" s="66"/>
      <c r="G233" s="66"/>
      <c r="H233" s="66"/>
      <c r="I233" s="66"/>
      <c r="J233" s="66"/>
      <c r="K233" s="82"/>
      <c r="L233" s="82"/>
      <c r="M233" s="82"/>
      <c r="N233" s="82"/>
      <c r="O233" s="82"/>
      <c r="P233" s="82"/>
      <c r="Q233" s="82"/>
      <c r="R233" s="82"/>
      <c r="S233" s="82"/>
      <c r="T233" s="82"/>
      <c r="U233" s="82"/>
      <c r="V233" s="82"/>
      <c r="W233" s="82"/>
      <c r="X233" s="82"/>
    </row>
    <row r="234" spans="2:24" x14ac:dyDescent="0.25">
      <c r="B234" s="65"/>
      <c r="C234" s="66"/>
      <c r="D234" s="66"/>
      <c r="E234" s="66"/>
      <c r="F234" s="66"/>
      <c r="G234" s="66"/>
      <c r="H234" s="66"/>
      <c r="I234" s="66"/>
      <c r="J234" s="66"/>
      <c r="K234" s="82"/>
      <c r="L234" s="82"/>
      <c r="M234" s="82"/>
      <c r="N234" s="82"/>
      <c r="O234" s="82"/>
      <c r="P234" s="82"/>
      <c r="Q234" s="82"/>
      <c r="R234" s="82"/>
      <c r="S234" s="82"/>
      <c r="T234" s="82"/>
      <c r="U234" s="82"/>
      <c r="V234" s="82"/>
      <c r="W234" s="82"/>
      <c r="X234" s="82"/>
    </row>
    <row r="235" spans="2:24" x14ac:dyDescent="0.25">
      <c r="B235" s="65"/>
      <c r="C235" s="66"/>
      <c r="D235" s="66"/>
      <c r="E235" s="66"/>
      <c r="F235" s="66"/>
      <c r="G235" s="66"/>
      <c r="H235" s="66"/>
      <c r="I235" s="66"/>
      <c r="J235" s="66"/>
      <c r="K235" s="82"/>
      <c r="L235" s="82"/>
      <c r="M235" s="82"/>
      <c r="N235" s="82"/>
      <c r="O235" s="82"/>
      <c r="P235" s="82"/>
      <c r="Q235" s="82"/>
      <c r="R235" s="82"/>
      <c r="S235" s="82"/>
      <c r="T235" s="82"/>
      <c r="U235" s="82"/>
      <c r="V235" s="82"/>
      <c r="W235" s="82"/>
      <c r="X235" s="82"/>
    </row>
    <row r="236" spans="2:24" x14ac:dyDescent="0.25">
      <c r="B236" s="65"/>
      <c r="C236" s="66"/>
      <c r="D236" s="66"/>
      <c r="E236" s="66"/>
      <c r="F236" s="66"/>
      <c r="G236" s="66"/>
      <c r="H236" s="66"/>
      <c r="I236" s="66"/>
      <c r="J236" s="66"/>
      <c r="K236" s="82"/>
      <c r="L236" s="82"/>
      <c r="M236" s="82"/>
      <c r="N236" s="82"/>
      <c r="O236" s="82"/>
      <c r="P236" s="82"/>
      <c r="Q236" s="82"/>
      <c r="R236" s="82"/>
      <c r="S236" s="82"/>
      <c r="T236" s="82"/>
      <c r="U236" s="82"/>
      <c r="V236" s="82"/>
      <c r="W236" s="82"/>
      <c r="X236" s="82"/>
    </row>
    <row r="237" spans="2:24" x14ac:dyDescent="0.25">
      <c r="B237" s="65"/>
      <c r="C237" s="66"/>
      <c r="D237" s="66"/>
      <c r="E237" s="66"/>
      <c r="F237" s="66"/>
      <c r="G237" s="66"/>
      <c r="H237" s="66"/>
      <c r="I237" s="66"/>
      <c r="J237" s="66"/>
      <c r="K237" s="82"/>
      <c r="L237" s="82"/>
      <c r="M237" s="82"/>
      <c r="N237" s="82"/>
      <c r="O237" s="82"/>
      <c r="P237" s="82"/>
      <c r="Q237" s="82"/>
      <c r="R237" s="82"/>
      <c r="S237" s="82"/>
      <c r="T237" s="82"/>
      <c r="U237" s="82"/>
      <c r="V237" s="82"/>
      <c r="W237" s="82"/>
      <c r="X237" s="82"/>
    </row>
    <row r="238" spans="2:24" x14ac:dyDescent="0.25">
      <c r="B238" s="65"/>
      <c r="C238" s="66"/>
      <c r="D238" s="66"/>
      <c r="E238" s="66"/>
      <c r="F238" s="66"/>
      <c r="G238" s="66"/>
      <c r="H238" s="66"/>
      <c r="I238" s="66"/>
      <c r="J238" s="66"/>
      <c r="K238" s="82"/>
      <c r="L238" s="82"/>
      <c r="M238" s="82"/>
      <c r="N238" s="82"/>
      <c r="O238" s="82"/>
      <c r="P238" s="82"/>
      <c r="Q238" s="82"/>
      <c r="R238" s="82"/>
      <c r="S238" s="82"/>
      <c r="T238" s="82"/>
      <c r="U238" s="82"/>
      <c r="V238" s="82"/>
      <c r="W238" s="82"/>
      <c r="X238" s="82"/>
    </row>
    <row r="239" spans="2:24" x14ac:dyDescent="0.25">
      <c r="B239" s="65"/>
      <c r="C239" s="66"/>
      <c r="D239" s="66"/>
      <c r="E239" s="66"/>
      <c r="F239" s="66"/>
      <c r="G239" s="66"/>
      <c r="H239" s="66"/>
      <c r="I239" s="66"/>
      <c r="J239" s="66"/>
      <c r="K239" s="82"/>
      <c r="L239" s="82"/>
      <c r="M239" s="82"/>
      <c r="N239" s="82"/>
      <c r="O239" s="82"/>
      <c r="P239" s="82"/>
      <c r="Q239" s="82"/>
      <c r="R239" s="82"/>
      <c r="S239" s="82"/>
      <c r="T239" s="82"/>
      <c r="U239" s="82"/>
      <c r="V239" s="82"/>
      <c r="W239" s="82"/>
      <c r="X239" s="82"/>
    </row>
    <row r="240" spans="2:24" x14ac:dyDescent="0.25">
      <c r="B240" s="65"/>
      <c r="C240" s="66"/>
      <c r="D240" s="66"/>
      <c r="E240" s="66"/>
      <c r="F240" s="66"/>
      <c r="G240" s="66"/>
      <c r="H240" s="66"/>
      <c r="I240" s="66"/>
      <c r="J240" s="66"/>
      <c r="K240" s="82"/>
      <c r="L240" s="82"/>
      <c r="M240" s="82"/>
      <c r="N240" s="82"/>
      <c r="O240" s="82"/>
      <c r="P240" s="82"/>
      <c r="Q240" s="82"/>
      <c r="R240" s="82"/>
      <c r="S240" s="82"/>
      <c r="T240" s="82"/>
      <c r="U240" s="82"/>
      <c r="V240" s="82"/>
      <c r="W240" s="82"/>
      <c r="X240" s="82"/>
    </row>
    <row r="241" spans="2:24" x14ac:dyDescent="0.25">
      <c r="B241" s="65"/>
      <c r="C241" s="66"/>
      <c r="D241" s="66"/>
      <c r="E241" s="66"/>
      <c r="F241" s="66"/>
      <c r="G241" s="66"/>
      <c r="H241" s="66"/>
      <c r="I241" s="66"/>
      <c r="J241" s="66"/>
      <c r="K241" s="82"/>
      <c r="L241" s="82"/>
      <c r="M241" s="82"/>
      <c r="N241" s="82"/>
      <c r="O241" s="82"/>
      <c r="P241" s="82"/>
      <c r="Q241" s="82"/>
      <c r="R241" s="82"/>
      <c r="S241" s="82"/>
      <c r="T241" s="82"/>
      <c r="U241" s="82"/>
      <c r="V241" s="82"/>
      <c r="W241" s="82"/>
      <c r="X241" s="82"/>
    </row>
    <row r="242" spans="2:24" x14ac:dyDescent="0.25">
      <c r="B242" s="65"/>
      <c r="C242" s="66"/>
      <c r="D242" s="66"/>
      <c r="E242" s="66"/>
      <c r="F242" s="66"/>
      <c r="G242" s="66"/>
      <c r="H242" s="66"/>
      <c r="I242" s="66"/>
      <c r="J242" s="66"/>
      <c r="K242" s="82"/>
      <c r="L242" s="82"/>
      <c r="M242" s="82"/>
      <c r="N242" s="82"/>
      <c r="O242" s="82"/>
      <c r="P242" s="82"/>
      <c r="Q242" s="82"/>
      <c r="R242" s="82"/>
      <c r="S242" s="82"/>
      <c r="T242" s="82"/>
      <c r="U242" s="82"/>
      <c r="V242" s="82"/>
      <c r="W242" s="82"/>
      <c r="X242" s="82"/>
    </row>
    <row r="243" spans="2:24" x14ac:dyDescent="0.25">
      <c r="B243" s="65"/>
      <c r="C243" s="66"/>
      <c r="D243" s="66"/>
      <c r="E243" s="66"/>
      <c r="F243" s="66"/>
      <c r="G243" s="66"/>
      <c r="H243" s="66"/>
      <c r="I243" s="66"/>
      <c r="J243" s="66"/>
      <c r="K243" s="82"/>
      <c r="L243" s="82"/>
      <c r="M243" s="82"/>
      <c r="N243" s="82"/>
      <c r="O243" s="82"/>
      <c r="P243" s="82"/>
      <c r="Q243" s="82"/>
      <c r="R243" s="82"/>
      <c r="S243" s="82"/>
      <c r="T243" s="82"/>
      <c r="U243" s="82"/>
      <c r="V243" s="82"/>
      <c r="W243" s="82"/>
      <c r="X243" s="82"/>
    </row>
    <row r="244" spans="2:24" x14ac:dyDescent="0.25">
      <c r="B244" s="65"/>
      <c r="C244" s="66"/>
      <c r="D244" s="66"/>
      <c r="E244" s="66"/>
      <c r="F244" s="66"/>
      <c r="G244" s="66"/>
      <c r="H244" s="66"/>
      <c r="I244" s="66"/>
      <c r="J244" s="66"/>
      <c r="K244" s="82"/>
      <c r="L244" s="82"/>
      <c r="M244" s="82"/>
      <c r="N244" s="82"/>
      <c r="O244" s="82"/>
      <c r="P244" s="82"/>
      <c r="Q244" s="82"/>
      <c r="R244" s="82"/>
      <c r="S244" s="82"/>
      <c r="T244" s="82"/>
      <c r="U244" s="82"/>
      <c r="V244" s="82"/>
      <c r="W244" s="82"/>
      <c r="X244" s="82"/>
    </row>
    <row r="245" spans="2:24" x14ac:dyDescent="0.25">
      <c r="B245" s="65"/>
      <c r="C245" s="66"/>
      <c r="D245" s="66"/>
      <c r="E245" s="66"/>
      <c r="F245" s="66"/>
      <c r="G245" s="66"/>
      <c r="H245" s="66"/>
      <c r="I245" s="66"/>
      <c r="J245" s="66"/>
      <c r="K245" s="82"/>
      <c r="L245" s="82"/>
      <c r="M245" s="82"/>
      <c r="N245" s="82"/>
      <c r="O245" s="82"/>
      <c r="P245" s="82"/>
      <c r="Q245" s="82"/>
      <c r="R245" s="82"/>
      <c r="S245" s="82"/>
      <c r="T245" s="82"/>
      <c r="U245" s="82"/>
      <c r="V245" s="82"/>
      <c r="W245" s="82"/>
      <c r="X245" s="82"/>
    </row>
    <row r="246" spans="2:24" x14ac:dyDescent="0.25">
      <c r="B246" s="65"/>
      <c r="C246" s="66"/>
      <c r="D246" s="66"/>
      <c r="E246" s="66"/>
      <c r="F246" s="66"/>
      <c r="G246" s="66"/>
      <c r="H246" s="66"/>
      <c r="I246" s="66"/>
      <c r="J246" s="66"/>
      <c r="K246" s="82"/>
      <c r="L246" s="82"/>
      <c r="M246" s="82"/>
      <c r="N246" s="82"/>
      <c r="O246" s="82"/>
      <c r="P246" s="82"/>
      <c r="Q246" s="82"/>
      <c r="R246" s="82"/>
      <c r="S246" s="82"/>
      <c r="T246" s="82"/>
      <c r="U246" s="82"/>
      <c r="V246" s="82"/>
      <c r="W246" s="82"/>
      <c r="X246" s="82"/>
    </row>
    <row r="247" spans="2:24" x14ac:dyDescent="0.25">
      <c r="B247" s="65"/>
      <c r="C247" s="66"/>
      <c r="D247" s="66"/>
      <c r="E247" s="66"/>
      <c r="F247" s="66"/>
      <c r="G247" s="66"/>
      <c r="H247" s="66"/>
      <c r="I247" s="66"/>
      <c r="J247" s="66"/>
      <c r="K247" s="82"/>
      <c r="L247" s="82"/>
      <c r="M247" s="82"/>
      <c r="N247" s="82"/>
      <c r="O247" s="82"/>
      <c r="P247" s="82"/>
      <c r="Q247" s="82"/>
      <c r="R247" s="82"/>
      <c r="S247" s="82"/>
      <c r="T247" s="82"/>
      <c r="U247" s="82"/>
      <c r="V247" s="82"/>
      <c r="W247" s="82"/>
      <c r="X247" s="82"/>
    </row>
    <row r="248" spans="2:24" x14ac:dyDescent="0.25">
      <c r="B248" s="65"/>
      <c r="C248" s="66"/>
      <c r="D248" s="66"/>
      <c r="E248" s="66"/>
      <c r="F248" s="66"/>
      <c r="G248" s="66"/>
      <c r="H248" s="66"/>
      <c r="I248" s="66"/>
      <c r="J248" s="66"/>
      <c r="K248" s="82"/>
      <c r="L248" s="82"/>
      <c r="M248" s="82"/>
      <c r="N248" s="82"/>
      <c r="O248" s="82"/>
      <c r="P248" s="82"/>
      <c r="Q248" s="82"/>
      <c r="R248" s="82"/>
      <c r="S248" s="82"/>
      <c r="T248" s="82"/>
      <c r="U248" s="82"/>
      <c r="V248" s="82"/>
      <c r="W248" s="82"/>
      <c r="X248" s="82"/>
    </row>
    <row r="249" spans="2:24" x14ac:dyDescent="0.25">
      <c r="B249" s="65"/>
      <c r="C249" s="66"/>
      <c r="D249" s="66"/>
      <c r="E249" s="66"/>
      <c r="F249" s="66"/>
      <c r="G249" s="66"/>
      <c r="H249" s="66"/>
      <c r="I249" s="66"/>
      <c r="J249" s="66"/>
      <c r="K249" s="82"/>
      <c r="L249" s="82"/>
      <c r="M249" s="82"/>
      <c r="N249" s="82"/>
      <c r="O249" s="82"/>
      <c r="P249" s="82"/>
      <c r="Q249" s="82"/>
      <c r="R249" s="82"/>
      <c r="S249" s="82"/>
      <c r="T249" s="82"/>
      <c r="U249" s="82"/>
      <c r="V249" s="82"/>
      <c r="W249" s="82"/>
      <c r="X249" s="82"/>
    </row>
    <row r="250" spans="2:24" x14ac:dyDescent="0.25">
      <c r="B250" s="65"/>
      <c r="C250" s="66"/>
      <c r="D250" s="66"/>
      <c r="E250" s="66"/>
      <c r="F250" s="66"/>
      <c r="G250" s="66"/>
      <c r="H250" s="66"/>
      <c r="I250" s="66"/>
      <c r="J250" s="66"/>
      <c r="K250" s="82"/>
      <c r="L250" s="82"/>
      <c r="M250" s="82"/>
      <c r="N250" s="82"/>
      <c r="O250" s="82"/>
      <c r="P250" s="82"/>
      <c r="Q250" s="82"/>
      <c r="R250" s="82"/>
      <c r="S250" s="82"/>
      <c r="T250" s="82"/>
      <c r="U250" s="82"/>
      <c r="V250" s="82"/>
      <c r="W250" s="82"/>
      <c r="X250" s="82"/>
    </row>
    <row r="251" spans="2:24" x14ac:dyDescent="0.25">
      <c r="B251" s="65"/>
      <c r="C251" s="66"/>
      <c r="D251" s="66"/>
      <c r="E251" s="66"/>
      <c r="F251" s="66"/>
      <c r="G251" s="66"/>
      <c r="H251" s="66"/>
      <c r="I251" s="66"/>
      <c r="J251" s="66"/>
      <c r="K251" s="82"/>
      <c r="L251" s="82"/>
      <c r="M251" s="82"/>
      <c r="N251" s="82"/>
      <c r="O251" s="82"/>
      <c r="P251" s="82"/>
      <c r="Q251" s="82"/>
      <c r="R251" s="82"/>
      <c r="S251" s="82"/>
      <c r="T251" s="82"/>
      <c r="U251" s="82"/>
      <c r="V251" s="82"/>
      <c r="W251" s="82"/>
      <c r="X251" s="82"/>
    </row>
    <row r="252" spans="2:24" x14ac:dyDescent="0.25">
      <c r="B252" s="65"/>
      <c r="C252" s="66"/>
      <c r="D252" s="66"/>
      <c r="E252" s="66"/>
      <c r="F252" s="66"/>
      <c r="G252" s="66"/>
      <c r="H252" s="66"/>
      <c r="I252" s="66"/>
      <c r="J252" s="66"/>
      <c r="K252" s="82"/>
      <c r="L252" s="82"/>
      <c r="M252" s="82"/>
      <c r="N252" s="82"/>
      <c r="O252" s="82"/>
      <c r="P252" s="82"/>
      <c r="Q252" s="82"/>
      <c r="R252" s="82"/>
      <c r="S252" s="82"/>
      <c r="T252" s="82"/>
      <c r="U252" s="82"/>
      <c r="V252" s="82"/>
      <c r="W252" s="82"/>
      <c r="X252" s="82"/>
    </row>
    <row r="253" spans="2:24" x14ac:dyDescent="0.25">
      <c r="B253" s="65"/>
      <c r="C253" s="66"/>
      <c r="D253" s="66"/>
      <c r="E253" s="66"/>
      <c r="F253" s="66"/>
      <c r="G253" s="66"/>
      <c r="H253" s="66"/>
      <c r="I253" s="66"/>
      <c r="J253" s="66"/>
      <c r="K253" s="82"/>
      <c r="L253" s="82"/>
      <c r="M253" s="82"/>
      <c r="N253" s="82"/>
      <c r="O253" s="82"/>
      <c r="P253" s="82"/>
      <c r="Q253" s="82"/>
      <c r="R253" s="82"/>
      <c r="S253" s="82"/>
      <c r="T253" s="82"/>
      <c r="U253" s="82"/>
      <c r="V253" s="82"/>
      <c r="W253" s="82"/>
      <c r="X253" s="82"/>
    </row>
    <row r="254" spans="2:24" x14ac:dyDescent="0.25">
      <c r="B254" s="65"/>
      <c r="C254" s="66"/>
      <c r="D254" s="66"/>
      <c r="E254" s="66"/>
      <c r="F254" s="66"/>
      <c r="G254" s="66"/>
      <c r="H254" s="66"/>
      <c r="I254" s="66"/>
      <c r="J254" s="66"/>
      <c r="K254" s="82"/>
      <c r="L254" s="82"/>
      <c r="M254" s="82"/>
      <c r="N254" s="82"/>
      <c r="O254" s="82"/>
      <c r="P254" s="82"/>
      <c r="Q254" s="82"/>
      <c r="R254" s="82"/>
      <c r="S254" s="82"/>
      <c r="T254" s="82"/>
      <c r="U254" s="82"/>
      <c r="V254" s="82"/>
      <c r="W254" s="82"/>
      <c r="X254" s="82"/>
    </row>
    <row r="255" spans="2:24" x14ac:dyDescent="0.25">
      <c r="B255" s="65"/>
      <c r="C255" s="66"/>
      <c r="D255" s="66"/>
      <c r="E255" s="66"/>
      <c r="F255" s="66"/>
      <c r="G255" s="66"/>
      <c r="H255" s="66"/>
      <c r="I255" s="66"/>
      <c r="J255" s="66"/>
      <c r="K255" s="82"/>
      <c r="L255" s="82"/>
      <c r="M255" s="82"/>
      <c r="N255" s="82"/>
      <c r="O255" s="82"/>
      <c r="P255" s="82"/>
      <c r="Q255" s="82"/>
      <c r="R255" s="82"/>
      <c r="S255" s="82"/>
      <c r="T255" s="82"/>
      <c r="U255" s="82"/>
      <c r="V255" s="82"/>
      <c r="W255" s="82"/>
      <c r="X255" s="82"/>
    </row>
    <row r="256" spans="2:24" x14ac:dyDescent="0.25">
      <c r="B256" s="65"/>
      <c r="C256" s="66"/>
      <c r="D256" s="66"/>
      <c r="E256" s="66"/>
      <c r="F256" s="66"/>
      <c r="G256" s="66"/>
      <c r="H256" s="66"/>
      <c r="I256" s="66"/>
      <c r="J256" s="66"/>
      <c r="K256" s="82"/>
      <c r="L256" s="82"/>
      <c r="M256" s="82"/>
      <c r="N256" s="82"/>
      <c r="O256" s="82"/>
      <c r="P256" s="82"/>
      <c r="Q256" s="82"/>
      <c r="R256" s="82"/>
      <c r="S256" s="82"/>
      <c r="T256" s="82"/>
      <c r="U256" s="82"/>
      <c r="V256" s="82"/>
      <c r="W256" s="82"/>
      <c r="X256" s="82"/>
    </row>
    <row r="257" spans="2:24" x14ac:dyDescent="0.25">
      <c r="B257" s="65"/>
      <c r="C257" s="66"/>
      <c r="D257" s="66"/>
      <c r="E257" s="66"/>
      <c r="F257" s="66"/>
      <c r="G257" s="66"/>
      <c r="H257" s="66"/>
      <c r="I257" s="66"/>
      <c r="J257" s="66"/>
      <c r="K257" s="82"/>
      <c r="L257" s="82"/>
      <c r="M257" s="82"/>
      <c r="N257" s="82"/>
      <c r="O257" s="82"/>
      <c r="P257" s="82"/>
      <c r="Q257" s="82"/>
      <c r="R257" s="82"/>
      <c r="S257" s="82"/>
      <c r="T257" s="82"/>
      <c r="U257" s="82"/>
      <c r="V257" s="82"/>
      <c r="W257" s="82"/>
      <c r="X257" s="82"/>
    </row>
    <row r="258" spans="2:24" x14ac:dyDescent="0.25">
      <c r="B258" s="65"/>
      <c r="C258" s="66"/>
      <c r="D258" s="66"/>
      <c r="E258" s="66"/>
      <c r="F258" s="66"/>
      <c r="G258" s="66"/>
      <c r="H258" s="66"/>
      <c r="I258" s="66"/>
      <c r="J258" s="66"/>
      <c r="K258" s="82"/>
      <c r="L258" s="82"/>
      <c r="M258" s="82"/>
      <c r="N258" s="82"/>
      <c r="O258" s="82"/>
      <c r="P258" s="82"/>
      <c r="Q258" s="82"/>
      <c r="R258" s="82"/>
      <c r="S258" s="82"/>
      <c r="T258" s="82"/>
      <c r="U258" s="82"/>
      <c r="V258" s="82"/>
      <c r="W258" s="82"/>
      <c r="X258" s="82"/>
    </row>
    <row r="259" spans="2:24" x14ac:dyDescent="0.25">
      <c r="B259" s="65"/>
      <c r="C259" s="66"/>
      <c r="D259" s="66"/>
      <c r="E259" s="66"/>
      <c r="F259" s="66"/>
      <c r="G259" s="66"/>
      <c r="H259" s="66"/>
      <c r="I259" s="66"/>
      <c r="J259" s="66"/>
      <c r="K259" s="82"/>
      <c r="L259" s="82"/>
      <c r="M259" s="82"/>
      <c r="N259" s="82"/>
      <c r="O259" s="82"/>
      <c r="P259" s="82"/>
      <c r="Q259" s="82"/>
      <c r="R259" s="82"/>
      <c r="S259" s="82"/>
      <c r="T259" s="82"/>
      <c r="U259" s="82"/>
      <c r="V259" s="82"/>
      <c r="W259" s="82"/>
      <c r="X259" s="82"/>
    </row>
    <row r="260" spans="2:24" x14ac:dyDescent="0.25">
      <c r="B260" s="65"/>
      <c r="C260" s="66"/>
      <c r="D260" s="66"/>
      <c r="E260" s="66"/>
      <c r="F260" s="66"/>
      <c r="G260" s="66"/>
      <c r="H260" s="66"/>
      <c r="I260" s="66"/>
      <c r="J260" s="66"/>
      <c r="K260" s="82"/>
      <c r="L260" s="82"/>
      <c r="M260" s="82"/>
      <c r="N260" s="82"/>
      <c r="O260" s="82"/>
      <c r="P260" s="82"/>
      <c r="Q260" s="82"/>
      <c r="R260" s="82"/>
      <c r="S260" s="82"/>
      <c r="T260" s="82"/>
      <c r="U260" s="82"/>
      <c r="V260" s="82"/>
      <c r="W260" s="82"/>
      <c r="X260" s="82"/>
    </row>
    <row r="261" spans="2:24" x14ac:dyDescent="0.25">
      <c r="B261" s="65"/>
      <c r="C261" s="66"/>
      <c r="D261" s="66"/>
      <c r="E261" s="66"/>
      <c r="F261" s="66"/>
      <c r="G261" s="66"/>
      <c r="H261" s="66"/>
      <c r="I261" s="66"/>
      <c r="J261" s="66"/>
      <c r="K261" s="82"/>
      <c r="L261" s="82"/>
      <c r="M261" s="82"/>
      <c r="N261" s="82"/>
      <c r="O261" s="82"/>
      <c r="P261" s="82"/>
      <c r="Q261" s="82"/>
      <c r="R261" s="82"/>
      <c r="S261" s="82"/>
      <c r="T261" s="82"/>
      <c r="U261" s="82"/>
      <c r="V261" s="82"/>
      <c r="W261" s="82"/>
      <c r="X261" s="82"/>
    </row>
    <row r="262" spans="2:24" x14ac:dyDescent="0.25">
      <c r="B262" s="65"/>
      <c r="C262" s="66"/>
      <c r="D262" s="66"/>
      <c r="E262" s="66"/>
      <c r="F262" s="66"/>
      <c r="G262" s="66"/>
      <c r="H262" s="66"/>
      <c r="I262" s="66"/>
      <c r="J262" s="66"/>
      <c r="K262" s="82"/>
      <c r="L262" s="82"/>
      <c r="M262" s="82"/>
      <c r="N262" s="82"/>
      <c r="O262" s="82"/>
      <c r="P262" s="82"/>
      <c r="Q262" s="82"/>
      <c r="R262" s="82"/>
      <c r="S262" s="82"/>
      <c r="T262" s="82"/>
      <c r="U262" s="82"/>
      <c r="V262" s="82"/>
      <c r="W262" s="82"/>
      <c r="X262" s="82"/>
    </row>
    <row r="263" spans="2:24" x14ac:dyDescent="0.25">
      <c r="B263" s="65"/>
      <c r="C263" s="66"/>
      <c r="D263" s="66"/>
      <c r="E263" s="66"/>
      <c r="F263" s="66"/>
      <c r="G263" s="66"/>
      <c r="H263" s="66"/>
      <c r="I263" s="66"/>
      <c r="J263" s="66"/>
      <c r="K263" s="82"/>
      <c r="L263" s="82"/>
      <c r="M263" s="82"/>
      <c r="N263" s="82"/>
      <c r="O263" s="82"/>
      <c r="P263" s="82"/>
      <c r="Q263" s="82"/>
      <c r="R263" s="82"/>
      <c r="S263" s="82"/>
      <c r="T263" s="82"/>
      <c r="U263" s="82"/>
      <c r="V263" s="82"/>
      <c r="W263" s="82"/>
      <c r="X263" s="82"/>
    </row>
    <row r="264" spans="2:24" x14ac:dyDescent="0.25">
      <c r="B264" s="65"/>
      <c r="C264" s="66"/>
      <c r="D264" s="66"/>
      <c r="E264" s="66"/>
      <c r="F264" s="66"/>
      <c r="G264" s="66"/>
      <c r="H264" s="66"/>
      <c r="I264" s="66"/>
      <c r="J264" s="66"/>
      <c r="K264" s="82"/>
      <c r="L264" s="82"/>
      <c r="M264" s="82"/>
      <c r="N264" s="82"/>
      <c r="O264" s="82"/>
      <c r="P264" s="82"/>
      <c r="Q264" s="82"/>
      <c r="R264" s="82"/>
      <c r="S264" s="82"/>
      <c r="T264" s="82"/>
      <c r="U264" s="82"/>
      <c r="V264" s="82"/>
      <c r="W264" s="82"/>
      <c r="X264" s="82"/>
    </row>
    <row r="265" spans="2:24" x14ac:dyDescent="0.25">
      <c r="B265" s="65"/>
      <c r="C265" s="66"/>
      <c r="D265" s="66"/>
      <c r="E265" s="66"/>
      <c r="F265" s="66"/>
      <c r="G265" s="66"/>
      <c r="H265" s="66"/>
      <c r="I265" s="66"/>
      <c r="J265" s="66"/>
      <c r="K265" s="82"/>
      <c r="L265" s="82"/>
      <c r="M265" s="82"/>
      <c r="N265" s="82"/>
      <c r="O265" s="82"/>
      <c r="P265" s="82"/>
      <c r="Q265" s="82"/>
      <c r="R265" s="82"/>
      <c r="S265" s="82"/>
      <c r="T265" s="82"/>
      <c r="U265" s="82"/>
      <c r="V265" s="82"/>
      <c r="W265" s="82"/>
      <c r="X265" s="82"/>
    </row>
    <row r="266" spans="2:24" x14ac:dyDescent="0.25">
      <c r="B266" s="65"/>
      <c r="C266" s="66"/>
      <c r="D266" s="66"/>
      <c r="E266" s="66"/>
      <c r="F266" s="66"/>
      <c r="G266" s="66"/>
      <c r="H266" s="66"/>
      <c r="I266" s="66"/>
      <c r="J266" s="66"/>
      <c r="K266" s="82"/>
      <c r="L266" s="82"/>
      <c r="M266" s="82"/>
      <c r="N266" s="82"/>
      <c r="O266" s="82"/>
      <c r="P266" s="82"/>
      <c r="Q266" s="82"/>
      <c r="R266" s="82"/>
      <c r="S266" s="82"/>
      <c r="T266" s="82"/>
      <c r="U266" s="82"/>
      <c r="V266" s="82"/>
      <c r="W266" s="82"/>
      <c r="X266" s="82"/>
    </row>
    <row r="267" spans="2:24" x14ac:dyDescent="0.25">
      <c r="B267" s="65"/>
      <c r="C267" s="66"/>
      <c r="D267" s="66"/>
      <c r="E267" s="66"/>
      <c r="F267" s="66"/>
      <c r="G267" s="66"/>
      <c r="H267" s="66"/>
      <c r="I267" s="66"/>
      <c r="J267" s="66"/>
      <c r="K267" s="82"/>
      <c r="L267" s="82"/>
      <c r="M267" s="82"/>
      <c r="N267" s="82"/>
      <c r="O267" s="82"/>
      <c r="P267" s="82"/>
      <c r="Q267" s="82"/>
      <c r="R267" s="82"/>
      <c r="S267" s="82"/>
      <c r="T267" s="82"/>
      <c r="U267" s="82"/>
      <c r="V267" s="82"/>
      <c r="W267" s="82"/>
      <c r="X267" s="82"/>
    </row>
    <row r="268" spans="2:24" x14ac:dyDescent="0.25">
      <c r="B268" s="65"/>
      <c r="C268" s="66"/>
      <c r="D268" s="66"/>
      <c r="E268" s="66"/>
      <c r="F268" s="66"/>
      <c r="G268" s="66"/>
      <c r="H268" s="66"/>
      <c r="I268" s="66"/>
      <c r="J268" s="66"/>
      <c r="K268" s="82"/>
      <c r="L268" s="82"/>
      <c r="M268" s="82"/>
      <c r="N268" s="82"/>
      <c r="O268" s="82"/>
      <c r="P268" s="82"/>
      <c r="Q268" s="82"/>
      <c r="R268" s="82"/>
      <c r="S268" s="82"/>
      <c r="T268" s="82"/>
      <c r="U268" s="82"/>
      <c r="V268" s="82"/>
      <c r="W268" s="82"/>
      <c r="X268" s="82"/>
    </row>
    <row r="269" spans="2:24" x14ac:dyDescent="0.25">
      <c r="B269" s="65"/>
      <c r="C269" s="66"/>
      <c r="D269" s="66"/>
      <c r="E269" s="66"/>
      <c r="F269" s="66"/>
      <c r="G269" s="66"/>
      <c r="H269" s="66"/>
      <c r="I269" s="66"/>
      <c r="J269" s="66"/>
      <c r="K269" s="82"/>
      <c r="L269" s="82"/>
      <c r="M269" s="82"/>
      <c r="N269" s="82"/>
      <c r="O269" s="82"/>
      <c r="P269" s="82"/>
      <c r="Q269" s="82"/>
      <c r="R269" s="82"/>
      <c r="S269" s="82"/>
      <c r="T269" s="82"/>
      <c r="U269" s="82"/>
      <c r="V269" s="82"/>
      <c r="W269" s="82"/>
      <c r="X269" s="82"/>
    </row>
    <row r="270" spans="2:24" x14ac:dyDescent="0.25">
      <c r="B270" s="65"/>
      <c r="C270" s="66"/>
      <c r="D270" s="66"/>
      <c r="E270" s="66"/>
      <c r="F270" s="66"/>
      <c r="G270" s="66"/>
      <c r="H270" s="66"/>
      <c r="I270" s="66"/>
      <c r="J270" s="66"/>
      <c r="K270" s="82"/>
      <c r="L270" s="82"/>
      <c r="M270" s="82"/>
      <c r="N270" s="82"/>
      <c r="O270" s="82"/>
      <c r="P270" s="82"/>
      <c r="Q270" s="82"/>
      <c r="R270" s="82"/>
      <c r="S270" s="82"/>
      <c r="T270" s="82"/>
      <c r="U270" s="82"/>
      <c r="V270" s="82"/>
      <c r="W270" s="82"/>
      <c r="X270" s="82"/>
    </row>
    <row r="271" spans="2:24" x14ac:dyDescent="0.25">
      <c r="B271" s="65"/>
      <c r="C271" s="66"/>
      <c r="D271" s="66"/>
      <c r="E271" s="66"/>
      <c r="F271" s="66"/>
      <c r="G271" s="66"/>
      <c r="H271" s="66"/>
      <c r="I271" s="66"/>
      <c r="J271" s="66"/>
      <c r="K271" s="82"/>
      <c r="L271" s="82"/>
      <c r="M271" s="82"/>
      <c r="N271" s="82"/>
      <c r="O271" s="82"/>
      <c r="P271" s="82"/>
      <c r="Q271" s="82"/>
      <c r="R271" s="82"/>
      <c r="S271" s="82"/>
      <c r="T271" s="82"/>
      <c r="U271" s="82"/>
      <c r="V271" s="82"/>
      <c r="W271" s="82"/>
      <c r="X271" s="82"/>
    </row>
    <row r="272" spans="2:24" x14ac:dyDescent="0.25">
      <c r="B272" s="65"/>
      <c r="C272" s="66"/>
      <c r="D272" s="66"/>
      <c r="E272" s="66"/>
      <c r="F272" s="66"/>
      <c r="G272" s="66"/>
      <c r="H272" s="66"/>
      <c r="I272" s="66"/>
      <c r="J272" s="66"/>
      <c r="K272" s="82"/>
      <c r="L272" s="82"/>
      <c r="M272" s="82"/>
      <c r="N272" s="82"/>
      <c r="O272" s="82"/>
      <c r="P272" s="82"/>
      <c r="Q272" s="82"/>
      <c r="R272" s="82"/>
      <c r="S272" s="82"/>
      <c r="T272" s="82"/>
      <c r="U272" s="82"/>
      <c r="V272" s="82"/>
      <c r="W272" s="82"/>
      <c r="X272" s="82"/>
    </row>
    <row r="273" spans="2:24" x14ac:dyDescent="0.25">
      <c r="B273" s="65"/>
      <c r="C273" s="66"/>
      <c r="D273" s="66"/>
      <c r="E273" s="66"/>
      <c r="F273" s="66"/>
      <c r="G273" s="66"/>
      <c r="H273" s="66"/>
      <c r="I273" s="66"/>
      <c r="J273" s="66"/>
      <c r="K273" s="82"/>
      <c r="L273" s="82"/>
      <c r="M273" s="82"/>
      <c r="N273" s="82"/>
      <c r="O273" s="82"/>
      <c r="P273" s="82"/>
      <c r="Q273" s="82"/>
      <c r="R273" s="82"/>
      <c r="S273" s="82"/>
      <c r="T273" s="82"/>
      <c r="U273" s="82"/>
      <c r="V273" s="82"/>
      <c r="W273" s="82"/>
      <c r="X273" s="82"/>
    </row>
  </sheetData>
  <mergeCells count="18">
    <mergeCell ref="B2:B3"/>
    <mergeCell ref="C2:C3"/>
    <mergeCell ref="D2:D3"/>
    <mergeCell ref="E2:E3"/>
    <mergeCell ref="F2:F3"/>
    <mergeCell ref="B16:B17"/>
    <mergeCell ref="C16:C17"/>
    <mergeCell ref="D16:D17"/>
    <mergeCell ref="E16:E17"/>
    <mergeCell ref="F16:F17"/>
    <mergeCell ref="I16:I17"/>
    <mergeCell ref="J16:J17"/>
    <mergeCell ref="G2:G3"/>
    <mergeCell ref="H2:H3"/>
    <mergeCell ref="I2:I3"/>
    <mergeCell ref="J2:J3"/>
    <mergeCell ref="G16:G17"/>
    <mergeCell ref="H16:H1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Raw Data</vt:lpstr>
      <vt:lpstr>Product Margin Analysis</vt:lpstr>
      <vt:lpstr>Product Revenue Analysis</vt:lpstr>
      <vt:lpstr>Installer Analysis</vt:lpstr>
      <vt:lpstr>Designer Analysis</vt:lpstr>
      <vt:lpstr>Sales Location Analysis</vt:lpstr>
      <vt:lpstr>Sales by month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</dc:creator>
  <cp:lastModifiedBy>user</cp:lastModifiedBy>
  <cp:lastPrinted>2019-09-13T20:32:08Z</cp:lastPrinted>
  <dcterms:created xsi:type="dcterms:W3CDTF">2015-06-16T16:58:48Z</dcterms:created>
  <dcterms:modified xsi:type="dcterms:W3CDTF">2024-10-07T17:37:33Z</dcterms:modified>
</cp:coreProperties>
</file>