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4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Commission - Job Cost\2024\"/>
    </mc:Choice>
  </mc:AlternateContent>
  <bookViews>
    <workbookView xWindow="-120" yWindow="-120" windowWidth="16320" windowHeight="12705" tabRatio="488"/>
  </bookViews>
  <sheets>
    <sheet name="Raw Data" sheetId="1" r:id="rId1"/>
    <sheet name="Product Margin Analysis" sheetId="7" r:id="rId2"/>
    <sheet name="Product Revenue Analysis" sheetId="8" r:id="rId3"/>
    <sheet name="Installer Analysis" sheetId="9" r:id="rId4"/>
    <sheet name="Designer Analysis" sheetId="10" r:id="rId5"/>
    <sheet name="Sales Location Analysis" sheetId="11" r:id="rId6"/>
    <sheet name="Sales by month" sheetId="13" r:id="rId7"/>
  </sheets>
  <definedNames>
    <definedName name="_xlnm._FilterDatabase" localSheetId="4" hidden="1">'Designer Analysis'!#REF!</definedName>
    <definedName name="_xlnm._FilterDatabase" localSheetId="3" hidden="1">'Installer Analysis'!#REF!</definedName>
    <definedName name="_xlnm._FilterDatabase" localSheetId="1" hidden="1">'Product Margin Analysis'!#REF!</definedName>
    <definedName name="_xlnm._FilterDatabase" localSheetId="2" hidden="1">'Product Revenue Analysis'!#REF!</definedName>
    <definedName name="_xlnm._FilterDatabase" localSheetId="0" hidden="1">'Raw Data'!$B$4:$U$402</definedName>
    <definedName name="_xlnm._FilterDatabase" localSheetId="6" hidden="1">'Sales by month'!#REF!</definedName>
    <definedName name="_xlnm._FilterDatabase" localSheetId="5" hidden="1">'Sales Location Analysis'!#REF!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7" i="1" l="1"/>
  <c r="J106" i="1" l="1"/>
  <c r="P106" i="1"/>
  <c r="P105" i="1" l="1"/>
  <c r="P104" i="1" l="1"/>
  <c r="P102" i="1" l="1"/>
  <c r="P100" i="1" l="1"/>
  <c r="P99" i="1" l="1"/>
  <c r="P97" i="1" l="1"/>
  <c r="P96" i="1" l="1"/>
  <c r="P94" i="1" l="1"/>
  <c r="K92" i="1" l="1"/>
  <c r="P86" i="1" l="1"/>
  <c r="P87" i="1" l="1"/>
  <c r="J77" i="1" l="1"/>
  <c r="P77" i="1"/>
  <c r="P84" i="1" l="1"/>
  <c r="P80" i="1" l="1"/>
  <c r="P79" i="1" l="1"/>
  <c r="P78" i="1" l="1"/>
  <c r="J66" i="1" l="1"/>
  <c r="J72" i="1" l="1"/>
  <c r="P75" i="1" l="1"/>
  <c r="P74" i="1" l="1"/>
  <c r="P73" i="1" l="1"/>
  <c r="P71" i="1" l="1"/>
  <c r="P68" i="1" l="1"/>
  <c r="P69" i="1"/>
  <c r="P66" i="1" l="1"/>
  <c r="P67" i="1"/>
  <c r="P64" i="1" l="1"/>
  <c r="J61" i="1" l="1"/>
  <c r="P56" i="1" l="1"/>
  <c r="P55" i="1" l="1"/>
  <c r="J48" i="1" l="1"/>
  <c r="J52" i="1" l="1"/>
  <c r="J50" i="1" l="1"/>
  <c r="J51" i="1"/>
  <c r="P44" i="1" l="1"/>
  <c r="J38" i="1" l="1"/>
  <c r="J41" i="1" l="1"/>
  <c r="P42" i="1" l="1"/>
  <c r="P41" i="1" l="1"/>
  <c r="P38" i="1" l="1"/>
  <c r="P36" i="1" l="1"/>
  <c r="P35" i="1" l="1"/>
  <c r="P34" i="1" l="1"/>
  <c r="P33" i="1" l="1"/>
  <c r="P31" i="1" l="1"/>
  <c r="P30" i="1" l="1"/>
  <c r="P28" i="1" l="1"/>
  <c r="P27" i="1" l="1"/>
  <c r="P24" i="1" l="1"/>
  <c r="P21" i="1" l="1"/>
  <c r="P18" i="1" l="1"/>
  <c r="P14" i="1" l="1"/>
  <c r="J14" i="1" l="1"/>
  <c r="J12" i="1" l="1"/>
  <c r="P11" i="1" l="1"/>
  <c r="J11" i="1"/>
  <c r="P9" i="1" l="1"/>
  <c r="P6" i="1" l="1"/>
  <c r="Q5" i="1" l="1"/>
  <c r="P5" i="1"/>
  <c r="R5" i="1" l="1"/>
  <c r="S5" i="1" s="1"/>
  <c r="Q6" i="1"/>
  <c r="R6" i="1"/>
  <c r="S6" i="1" s="1"/>
  <c r="Q7" i="1"/>
  <c r="R7" i="1"/>
  <c r="S7" i="1" s="1"/>
  <c r="Q8" i="1"/>
  <c r="R8" i="1"/>
  <c r="S8" i="1" s="1"/>
  <c r="Q9" i="1"/>
  <c r="R9" i="1"/>
  <c r="S9" i="1" s="1"/>
  <c r="Q10" i="1"/>
  <c r="R10" i="1"/>
  <c r="S10" i="1" s="1"/>
  <c r="Q11" i="1"/>
  <c r="R11" i="1"/>
  <c r="S11" i="1" s="1"/>
  <c r="Q12" i="1"/>
  <c r="R12" i="1"/>
  <c r="S12" i="1" s="1"/>
  <c r="Q13" i="1"/>
  <c r="R13" i="1"/>
  <c r="S13" i="1" s="1"/>
  <c r="Q14" i="1"/>
  <c r="R14" i="1"/>
  <c r="S14" i="1" s="1"/>
  <c r="Q15" i="1"/>
  <c r="R15" i="1"/>
  <c r="S15" i="1" s="1"/>
  <c r="Q16" i="1"/>
  <c r="R16" i="1"/>
  <c r="S16" i="1" s="1"/>
  <c r="Q17" i="1"/>
  <c r="R17" i="1"/>
  <c r="S17" i="1" s="1"/>
  <c r="Q18" i="1"/>
  <c r="R18" i="1"/>
  <c r="S18" i="1" s="1"/>
  <c r="Q19" i="1"/>
  <c r="R19" i="1"/>
  <c r="S19" i="1" s="1"/>
  <c r="Q20" i="1"/>
  <c r="R20" i="1"/>
  <c r="S20" i="1" s="1"/>
  <c r="Q21" i="1"/>
  <c r="R21" i="1"/>
  <c r="S21" i="1" s="1"/>
  <c r="Q22" i="1"/>
  <c r="R22" i="1"/>
  <c r="S22" i="1" s="1"/>
  <c r="Q23" i="1"/>
  <c r="R23" i="1"/>
  <c r="S23" i="1" s="1"/>
  <c r="Q24" i="1"/>
  <c r="R24" i="1"/>
  <c r="S24" i="1" s="1"/>
  <c r="Q25" i="1"/>
  <c r="R25" i="1"/>
  <c r="S25" i="1" s="1"/>
  <c r="Q26" i="1"/>
  <c r="R26" i="1"/>
  <c r="S26" i="1" s="1"/>
  <c r="Q27" i="1"/>
  <c r="R27" i="1"/>
  <c r="S27" i="1" s="1"/>
  <c r="Q28" i="1"/>
  <c r="R28" i="1"/>
  <c r="S28" i="1" s="1"/>
  <c r="Q29" i="1"/>
  <c r="R29" i="1"/>
  <c r="S29" i="1" s="1"/>
  <c r="Q30" i="1"/>
  <c r="R30" i="1"/>
  <c r="S30" i="1" s="1"/>
  <c r="Q31" i="1"/>
  <c r="R31" i="1"/>
  <c r="S31" i="1" s="1"/>
  <c r="Q32" i="1"/>
  <c r="R32" i="1"/>
  <c r="S32" i="1" s="1"/>
  <c r="Q33" i="1"/>
  <c r="R33" i="1"/>
  <c r="S33" i="1" s="1"/>
  <c r="Q34" i="1"/>
  <c r="R34" i="1"/>
  <c r="S34" i="1" s="1"/>
  <c r="Q35" i="1"/>
  <c r="R35" i="1"/>
  <c r="S35" i="1" s="1"/>
  <c r="Q36" i="1"/>
  <c r="R36" i="1"/>
  <c r="S36" i="1" s="1"/>
  <c r="Q37" i="1"/>
  <c r="R37" i="1"/>
  <c r="S37" i="1" s="1"/>
  <c r="Q38" i="1"/>
  <c r="R38" i="1"/>
  <c r="S38" i="1" s="1"/>
  <c r="Q39" i="1"/>
  <c r="R39" i="1"/>
  <c r="S39" i="1" s="1"/>
  <c r="Q40" i="1"/>
  <c r="R40" i="1"/>
  <c r="S40" i="1" s="1"/>
  <c r="Q41" i="1"/>
  <c r="R41" i="1"/>
  <c r="S41" i="1" s="1"/>
  <c r="Q42" i="1"/>
  <c r="R42" i="1"/>
  <c r="S42" i="1" s="1"/>
  <c r="Q43" i="1"/>
  <c r="R43" i="1"/>
  <c r="S43" i="1" s="1"/>
  <c r="Q44" i="1"/>
  <c r="R44" i="1"/>
  <c r="S44" i="1" s="1"/>
  <c r="Q45" i="1"/>
  <c r="R45" i="1"/>
  <c r="S45" i="1" s="1"/>
  <c r="Q46" i="1"/>
  <c r="R46" i="1"/>
  <c r="S46" i="1" s="1"/>
  <c r="Q47" i="1"/>
  <c r="R47" i="1"/>
  <c r="S47" i="1" s="1"/>
  <c r="Q48" i="1"/>
  <c r="R48" i="1"/>
  <c r="S48" i="1" s="1"/>
  <c r="Q49" i="1"/>
  <c r="R49" i="1"/>
  <c r="S49" i="1" s="1"/>
  <c r="Q50" i="1"/>
  <c r="R50" i="1"/>
  <c r="S50" i="1" s="1"/>
  <c r="Q51" i="1"/>
  <c r="R51" i="1"/>
  <c r="S51" i="1" s="1"/>
  <c r="Q52" i="1"/>
  <c r="R52" i="1"/>
  <c r="S52" i="1" s="1"/>
  <c r="Q53" i="1"/>
  <c r="R53" i="1"/>
  <c r="S53" i="1" s="1"/>
  <c r="Q54" i="1"/>
  <c r="R54" i="1"/>
  <c r="S54" i="1" s="1"/>
  <c r="Q55" i="1"/>
  <c r="R55" i="1"/>
  <c r="S55" i="1" s="1"/>
  <c r="Q56" i="1"/>
  <c r="R56" i="1"/>
  <c r="S56" i="1" s="1"/>
  <c r="Q57" i="1"/>
  <c r="R57" i="1"/>
  <c r="S57" i="1" s="1"/>
  <c r="Q58" i="1"/>
  <c r="R58" i="1"/>
  <c r="S58" i="1" s="1"/>
  <c r="Q59" i="1"/>
  <c r="R59" i="1"/>
  <c r="S59" i="1" s="1"/>
  <c r="Q60" i="1"/>
  <c r="R60" i="1"/>
  <c r="S60" i="1" s="1"/>
  <c r="Q61" i="1"/>
  <c r="R61" i="1"/>
  <c r="S61" i="1" s="1"/>
  <c r="Q62" i="1"/>
  <c r="R62" i="1"/>
  <c r="S62" i="1" s="1"/>
  <c r="Q63" i="1"/>
  <c r="R63" i="1"/>
  <c r="S63" i="1" s="1"/>
  <c r="Q64" i="1"/>
  <c r="R64" i="1"/>
  <c r="S64" i="1" s="1"/>
  <c r="Q65" i="1"/>
  <c r="R65" i="1"/>
  <c r="S65" i="1" s="1"/>
  <c r="Q66" i="1"/>
  <c r="R66" i="1"/>
  <c r="S66" i="1" s="1"/>
  <c r="Q67" i="1"/>
  <c r="R67" i="1"/>
  <c r="S67" i="1" s="1"/>
  <c r="Q68" i="1"/>
  <c r="R68" i="1"/>
  <c r="S68" i="1" s="1"/>
  <c r="Q69" i="1"/>
  <c r="R69" i="1"/>
  <c r="S69" i="1" s="1"/>
  <c r="Q70" i="1"/>
  <c r="R70" i="1"/>
  <c r="S70" i="1" s="1"/>
  <c r="Q71" i="1"/>
  <c r="R71" i="1"/>
  <c r="S71" i="1" s="1"/>
  <c r="Q72" i="1"/>
  <c r="R72" i="1"/>
  <c r="S72" i="1" s="1"/>
  <c r="Q73" i="1"/>
  <c r="R73" i="1"/>
  <c r="S73" i="1" s="1"/>
  <c r="Q74" i="1"/>
  <c r="R74" i="1"/>
  <c r="S74" i="1" s="1"/>
  <c r="Q75" i="1"/>
  <c r="R75" i="1"/>
  <c r="S75" i="1" s="1"/>
  <c r="Q76" i="1"/>
  <c r="R76" i="1"/>
  <c r="S76" i="1" s="1"/>
  <c r="Q77" i="1"/>
  <c r="R77" i="1"/>
  <c r="S77" i="1" s="1"/>
  <c r="Q78" i="1"/>
  <c r="R78" i="1"/>
  <c r="S78" i="1" s="1"/>
  <c r="Q79" i="1"/>
  <c r="R79" i="1"/>
  <c r="S79" i="1" s="1"/>
  <c r="Q80" i="1"/>
  <c r="R80" i="1"/>
  <c r="S80" i="1" s="1"/>
  <c r="Q81" i="1"/>
  <c r="R81" i="1"/>
  <c r="S81" i="1" s="1"/>
  <c r="Q82" i="1"/>
  <c r="R82" i="1"/>
  <c r="S82" i="1" s="1"/>
  <c r="Q83" i="1"/>
  <c r="R83" i="1"/>
  <c r="S83" i="1" s="1"/>
  <c r="Q84" i="1"/>
  <c r="R84" i="1"/>
  <c r="S84" i="1" s="1"/>
  <c r="Q85" i="1"/>
  <c r="R85" i="1"/>
  <c r="S85" i="1" s="1"/>
  <c r="Q86" i="1"/>
  <c r="R86" i="1"/>
  <c r="S86" i="1" s="1"/>
  <c r="Q87" i="1"/>
  <c r="R87" i="1"/>
  <c r="S87" i="1" s="1"/>
  <c r="Q88" i="1"/>
  <c r="R88" i="1"/>
  <c r="S88" i="1" s="1"/>
  <c r="Q89" i="1"/>
  <c r="R89" i="1"/>
  <c r="S89" i="1" s="1"/>
  <c r="Q90" i="1"/>
  <c r="R90" i="1"/>
  <c r="S90" i="1" s="1"/>
  <c r="Q91" i="1"/>
  <c r="R91" i="1"/>
  <c r="S91" i="1" s="1"/>
  <c r="Q92" i="1"/>
  <c r="R92" i="1"/>
  <c r="S92" i="1" s="1"/>
  <c r="Q93" i="1"/>
  <c r="R93" i="1"/>
  <c r="S93" i="1" s="1"/>
  <c r="Q94" i="1"/>
  <c r="R94" i="1"/>
  <c r="S94" i="1" s="1"/>
  <c r="Q95" i="1"/>
  <c r="R95" i="1"/>
  <c r="S95" i="1" s="1"/>
  <c r="Q96" i="1"/>
  <c r="R96" i="1"/>
  <c r="S96" i="1" s="1"/>
  <c r="Q97" i="1"/>
  <c r="R97" i="1"/>
  <c r="S97" i="1" s="1"/>
  <c r="Q98" i="1"/>
  <c r="R98" i="1"/>
  <c r="S98" i="1" s="1"/>
  <c r="Q99" i="1"/>
  <c r="R99" i="1"/>
  <c r="S99" i="1" s="1"/>
  <c r="Q100" i="1"/>
  <c r="R100" i="1"/>
  <c r="S100" i="1" s="1"/>
  <c r="Q101" i="1"/>
  <c r="R101" i="1"/>
  <c r="S101" i="1" s="1"/>
  <c r="Q102" i="1"/>
  <c r="R102" i="1"/>
  <c r="S102" i="1" s="1"/>
  <c r="Q103" i="1"/>
  <c r="R103" i="1"/>
  <c r="S103" i="1" s="1"/>
  <c r="Q104" i="1"/>
  <c r="R104" i="1"/>
  <c r="S104" i="1" s="1"/>
  <c r="Q105" i="1"/>
  <c r="R105" i="1"/>
  <c r="S105" i="1" s="1"/>
  <c r="Q106" i="1"/>
  <c r="R106" i="1"/>
  <c r="S106" i="1" s="1"/>
  <c r="Q107" i="1"/>
  <c r="R107" i="1"/>
  <c r="S107" i="1" s="1"/>
  <c r="Q108" i="1"/>
  <c r="R108" i="1"/>
  <c r="S108" i="1" s="1"/>
  <c r="T108" i="1"/>
  <c r="Q109" i="1"/>
  <c r="R109" i="1"/>
  <c r="S109" i="1" s="1"/>
  <c r="T109" i="1"/>
  <c r="Q110" i="1"/>
  <c r="R110" i="1"/>
  <c r="S110" i="1" s="1"/>
  <c r="T110" i="1"/>
  <c r="Q111" i="1"/>
  <c r="R111" i="1"/>
  <c r="S111" i="1" s="1"/>
  <c r="T111" i="1"/>
  <c r="Q112" i="1"/>
  <c r="R112" i="1"/>
  <c r="S112" i="1" s="1"/>
  <c r="T112" i="1"/>
  <c r="Q113" i="1"/>
  <c r="R113" i="1"/>
  <c r="S113" i="1" s="1"/>
  <c r="T113" i="1"/>
  <c r="Q114" i="1"/>
  <c r="R114" i="1"/>
  <c r="S114" i="1" s="1"/>
  <c r="T114" i="1"/>
  <c r="Q115" i="1"/>
  <c r="R115" i="1"/>
  <c r="S115" i="1" s="1"/>
  <c r="T115" i="1"/>
  <c r="Q116" i="1"/>
  <c r="R116" i="1"/>
  <c r="S116" i="1" s="1"/>
  <c r="T116" i="1"/>
  <c r="Q117" i="1"/>
  <c r="R117" i="1"/>
  <c r="S117" i="1" s="1"/>
  <c r="T117" i="1"/>
  <c r="Q118" i="1"/>
  <c r="R118" i="1"/>
  <c r="S118" i="1" s="1"/>
  <c r="T118" i="1"/>
  <c r="Q119" i="1"/>
  <c r="R119" i="1"/>
  <c r="S119" i="1" s="1"/>
  <c r="T119" i="1"/>
  <c r="Q120" i="1"/>
  <c r="R120" i="1"/>
  <c r="S120" i="1" s="1"/>
  <c r="T120" i="1"/>
  <c r="Q121" i="1"/>
  <c r="R121" i="1"/>
  <c r="S121" i="1" s="1"/>
  <c r="T121" i="1"/>
  <c r="Q122" i="1"/>
  <c r="R122" i="1"/>
  <c r="S122" i="1" s="1"/>
  <c r="T122" i="1"/>
  <c r="Q123" i="1"/>
  <c r="R123" i="1"/>
  <c r="S123" i="1" s="1"/>
  <c r="T123" i="1"/>
  <c r="Q124" i="1"/>
  <c r="R124" i="1"/>
  <c r="S124" i="1" s="1"/>
  <c r="T124" i="1"/>
  <c r="Q125" i="1"/>
  <c r="R125" i="1"/>
  <c r="S125" i="1" s="1"/>
  <c r="T125" i="1"/>
  <c r="Q126" i="1"/>
  <c r="R126" i="1"/>
  <c r="S126" i="1" s="1"/>
  <c r="T126" i="1"/>
  <c r="Q127" i="1"/>
  <c r="R127" i="1"/>
  <c r="S127" i="1" s="1"/>
  <c r="T127" i="1"/>
  <c r="Q128" i="1"/>
  <c r="R128" i="1"/>
  <c r="S128" i="1" s="1"/>
  <c r="T128" i="1"/>
  <c r="Q129" i="1"/>
  <c r="R129" i="1"/>
  <c r="S129" i="1" s="1"/>
  <c r="T129" i="1"/>
  <c r="Q130" i="1" l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3" i="1" l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P3" i="1"/>
  <c r="S3" i="1" l="1"/>
  <c r="R3" i="1"/>
  <c r="K124" i="1" l="1"/>
  <c r="J3" i="1" l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l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K78" i="1" l="1"/>
  <c r="M78" i="1"/>
  <c r="K79" i="1"/>
  <c r="M79" i="1"/>
  <c r="K80" i="1"/>
  <c r="M80" i="1"/>
  <c r="K81" i="1"/>
  <c r="M81" i="1"/>
  <c r="K82" i="1"/>
  <c r="M82" i="1"/>
  <c r="K83" i="1"/>
  <c r="M83" i="1"/>
  <c r="K84" i="1"/>
  <c r="M84" i="1"/>
  <c r="K85" i="1"/>
  <c r="M85" i="1"/>
  <c r="T85" i="1" s="1"/>
  <c r="K86" i="1"/>
  <c r="M86" i="1"/>
  <c r="T86" i="1" s="1"/>
  <c r="K87" i="1"/>
  <c r="M87" i="1"/>
  <c r="T87" i="1" s="1"/>
  <c r="K88" i="1"/>
  <c r="M88" i="1"/>
  <c r="T88" i="1" s="1"/>
  <c r="T84" i="1" l="1"/>
  <c r="T83" i="1"/>
  <c r="T82" i="1"/>
  <c r="T81" i="1"/>
  <c r="T80" i="1"/>
  <c r="T79" i="1"/>
  <c r="T78" i="1"/>
  <c r="M71" i="1"/>
  <c r="C4" i="13" l="1"/>
  <c r="E4" i="13" s="1"/>
  <c r="E4" i="9"/>
  <c r="M23" i="1"/>
  <c r="M19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K20" i="1"/>
  <c r="M20" i="1"/>
  <c r="K21" i="1"/>
  <c r="M21" i="1"/>
  <c r="K22" i="1"/>
  <c r="M22" i="1"/>
  <c r="K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K36" i="1"/>
  <c r="M36" i="1"/>
  <c r="K37" i="1"/>
  <c r="M37" i="1"/>
  <c r="K38" i="1"/>
  <c r="M38" i="1"/>
  <c r="K39" i="1"/>
  <c r="M39" i="1"/>
  <c r="K40" i="1"/>
  <c r="M40" i="1"/>
  <c r="K41" i="1"/>
  <c r="M41" i="1"/>
  <c r="K42" i="1"/>
  <c r="M42" i="1"/>
  <c r="K43" i="1"/>
  <c r="M43" i="1"/>
  <c r="K44" i="1"/>
  <c r="M44" i="1"/>
  <c r="K45" i="1"/>
  <c r="M45" i="1"/>
  <c r="K46" i="1"/>
  <c r="M46" i="1"/>
  <c r="K47" i="1"/>
  <c r="M47" i="1"/>
  <c r="K48" i="1"/>
  <c r="M48" i="1"/>
  <c r="K49" i="1"/>
  <c r="M49" i="1"/>
  <c r="K50" i="1"/>
  <c r="M50" i="1"/>
  <c r="K51" i="1"/>
  <c r="M51" i="1"/>
  <c r="K52" i="1"/>
  <c r="M52" i="1"/>
  <c r="K53" i="1"/>
  <c r="M53" i="1"/>
  <c r="K54" i="1"/>
  <c r="M54" i="1"/>
  <c r="K55" i="1"/>
  <c r="M55" i="1"/>
  <c r="K56" i="1"/>
  <c r="M56" i="1"/>
  <c r="K57" i="1"/>
  <c r="M57" i="1"/>
  <c r="K58" i="1"/>
  <c r="M58" i="1"/>
  <c r="K59" i="1"/>
  <c r="M59" i="1"/>
  <c r="K60" i="1"/>
  <c r="M60" i="1"/>
  <c r="K61" i="1"/>
  <c r="M61" i="1"/>
  <c r="K62" i="1"/>
  <c r="M62" i="1"/>
  <c r="K63" i="1"/>
  <c r="M63" i="1"/>
  <c r="K64" i="1"/>
  <c r="M64" i="1"/>
  <c r="K65" i="1"/>
  <c r="M65" i="1"/>
  <c r="K66" i="1"/>
  <c r="M66" i="1"/>
  <c r="K67" i="1"/>
  <c r="M67" i="1"/>
  <c r="K68" i="1"/>
  <c r="M68" i="1"/>
  <c r="K69" i="1"/>
  <c r="M69" i="1"/>
  <c r="K70" i="1"/>
  <c r="M70" i="1"/>
  <c r="K71" i="1"/>
  <c r="T71" i="1" s="1"/>
  <c r="K72" i="1"/>
  <c r="M72" i="1"/>
  <c r="K73" i="1"/>
  <c r="M73" i="1"/>
  <c r="K74" i="1"/>
  <c r="M74" i="1"/>
  <c r="K75" i="1"/>
  <c r="M75" i="1"/>
  <c r="K76" i="1"/>
  <c r="M76" i="1"/>
  <c r="K77" i="1"/>
  <c r="M77" i="1"/>
  <c r="K89" i="1"/>
  <c r="M89" i="1"/>
  <c r="T89" i="1" s="1"/>
  <c r="K90" i="1"/>
  <c r="M90" i="1"/>
  <c r="T90" i="1" s="1"/>
  <c r="K91" i="1"/>
  <c r="M91" i="1"/>
  <c r="T91" i="1" s="1"/>
  <c r="M92" i="1"/>
  <c r="T92" i="1" s="1"/>
  <c r="K93" i="1"/>
  <c r="M93" i="1"/>
  <c r="K94" i="1"/>
  <c r="M94" i="1"/>
  <c r="K95" i="1"/>
  <c r="M95" i="1"/>
  <c r="K96" i="1"/>
  <c r="M96" i="1"/>
  <c r="K97" i="1"/>
  <c r="M97" i="1"/>
  <c r="K98" i="1"/>
  <c r="M98" i="1"/>
  <c r="T98" i="1" s="1"/>
  <c r="K99" i="1"/>
  <c r="M99" i="1"/>
  <c r="T99" i="1" s="1"/>
  <c r="K100" i="1"/>
  <c r="M100" i="1"/>
  <c r="T100" i="1" s="1"/>
  <c r="K101" i="1"/>
  <c r="M101" i="1"/>
  <c r="T101" i="1" s="1"/>
  <c r="K102" i="1"/>
  <c r="M102" i="1"/>
  <c r="T102" i="1" s="1"/>
  <c r="K103" i="1"/>
  <c r="M103" i="1"/>
  <c r="T103" i="1" s="1"/>
  <c r="K104" i="1"/>
  <c r="M104" i="1"/>
  <c r="T104" i="1" s="1"/>
  <c r="K105" i="1"/>
  <c r="M105" i="1"/>
  <c r="T105" i="1" s="1"/>
  <c r="K106" i="1"/>
  <c r="M106" i="1"/>
  <c r="T106" i="1" s="1"/>
  <c r="K107" i="1"/>
  <c r="M107" i="1"/>
  <c r="T107" i="1" s="1"/>
  <c r="K108" i="1"/>
  <c r="M108" i="1"/>
  <c r="K109" i="1"/>
  <c r="M109" i="1"/>
  <c r="K110" i="1"/>
  <c r="M110" i="1"/>
  <c r="K111" i="1"/>
  <c r="M111" i="1"/>
  <c r="K112" i="1"/>
  <c r="M112" i="1"/>
  <c r="K113" i="1"/>
  <c r="M113" i="1"/>
  <c r="K114" i="1"/>
  <c r="M114" i="1"/>
  <c r="K115" i="1"/>
  <c r="M115" i="1"/>
  <c r="K116" i="1"/>
  <c r="M116" i="1"/>
  <c r="K117" i="1"/>
  <c r="M117" i="1"/>
  <c r="K118" i="1"/>
  <c r="M118" i="1"/>
  <c r="K119" i="1"/>
  <c r="M119" i="1"/>
  <c r="K120" i="1"/>
  <c r="M120" i="1"/>
  <c r="K121" i="1"/>
  <c r="M121" i="1"/>
  <c r="K122" i="1"/>
  <c r="M122" i="1"/>
  <c r="K123" i="1"/>
  <c r="M123" i="1"/>
  <c r="M124" i="1"/>
  <c r="K125" i="1"/>
  <c r="M125" i="1"/>
  <c r="K126" i="1"/>
  <c r="M126" i="1"/>
  <c r="K127" i="1"/>
  <c r="M127" i="1"/>
  <c r="K128" i="1"/>
  <c r="M128" i="1"/>
  <c r="K129" i="1"/>
  <c r="M129" i="1"/>
  <c r="K130" i="1"/>
  <c r="M130" i="1"/>
  <c r="K131" i="1"/>
  <c r="M131" i="1"/>
  <c r="K132" i="1"/>
  <c r="M132" i="1"/>
  <c r="K133" i="1"/>
  <c r="M133" i="1"/>
  <c r="K134" i="1"/>
  <c r="M134" i="1"/>
  <c r="K135" i="1"/>
  <c r="M135" i="1"/>
  <c r="K136" i="1"/>
  <c r="M136" i="1"/>
  <c r="K137" i="1"/>
  <c r="M137" i="1"/>
  <c r="K138" i="1"/>
  <c r="M138" i="1"/>
  <c r="K139" i="1"/>
  <c r="M139" i="1"/>
  <c r="K140" i="1"/>
  <c r="M140" i="1"/>
  <c r="K141" i="1"/>
  <c r="M141" i="1"/>
  <c r="K142" i="1"/>
  <c r="M142" i="1"/>
  <c r="K143" i="1"/>
  <c r="M143" i="1"/>
  <c r="K144" i="1"/>
  <c r="M144" i="1"/>
  <c r="K145" i="1"/>
  <c r="M145" i="1"/>
  <c r="K146" i="1"/>
  <c r="M146" i="1"/>
  <c r="K147" i="1"/>
  <c r="M147" i="1"/>
  <c r="K148" i="1"/>
  <c r="M148" i="1"/>
  <c r="K149" i="1"/>
  <c r="M149" i="1"/>
  <c r="K150" i="1"/>
  <c r="M150" i="1"/>
  <c r="K151" i="1"/>
  <c r="M151" i="1"/>
  <c r="K152" i="1"/>
  <c r="M152" i="1"/>
  <c r="K153" i="1"/>
  <c r="M153" i="1"/>
  <c r="K154" i="1"/>
  <c r="M154" i="1"/>
  <c r="K155" i="1"/>
  <c r="M155" i="1"/>
  <c r="K156" i="1"/>
  <c r="M156" i="1"/>
  <c r="K157" i="1"/>
  <c r="M157" i="1"/>
  <c r="K158" i="1"/>
  <c r="M158" i="1"/>
  <c r="K159" i="1"/>
  <c r="M159" i="1"/>
  <c r="K160" i="1"/>
  <c r="M160" i="1"/>
  <c r="K161" i="1"/>
  <c r="M161" i="1"/>
  <c r="K162" i="1"/>
  <c r="M162" i="1"/>
  <c r="K163" i="1"/>
  <c r="M163" i="1"/>
  <c r="K164" i="1"/>
  <c r="M164" i="1"/>
  <c r="K165" i="1"/>
  <c r="M165" i="1"/>
  <c r="K166" i="1"/>
  <c r="M166" i="1"/>
  <c r="K167" i="1"/>
  <c r="M167" i="1"/>
  <c r="K168" i="1"/>
  <c r="M168" i="1"/>
  <c r="K169" i="1"/>
  <c r="M169" i="1"/>
  <c r="K170" i="1"/>
  <c r="M170" i="1"/>
  <c r="K171" i="1"/>
  <c r="M171" i="1"/>
  <c r="K172" i="1"/>
  <c r="M172" i="1"/>
  <c r="K173" i="1"/>
  <c r="M173" i="1"/>
  <c r="K174" i="1"/>
  <c r="M174" i="1"/>
  <c r="K175" i="1"/>
  <c r="M175" i="1"/>
  <c r="K176" i="1"/>
  <c r="M176" i="1"/>
  <c r="K177" i="1"/>
  <c r="M177" i="1"/>
  <c r="K178" i="1"/>
  <c r="M178" i="1"/>
  <c r="K179" i="1"/>
  <c r="M179" i="1"/>
  <c r="K180" i="1"/>
  <c r="M180" i="1"/>
  <c r="K181" i="1"/>
  <c r="M181" i="1"/>
  <c r="K182" i="1"/>
  <c r="M182" i="1"/>
  <c r="K183" i="1"/>
  <c r="M183" i="1"/>
  <c r="K184" i="1"/>
  <c r="M184" i="1"/>
  <c r="K185" i="1"/>
  <c r="M185" i="1"/>
  <c r="K186" i="1"/>
  <c r="M186" i="1"/>
  <c r="K187" i="1"/>
  <c r="M187" i="1"/>
  <c r="K188" i="1"/>
  <c r="M188" i="1"/>
  <c r="K189" i="1"/>
  <c r="M189" i="1"/>
  <c r="K190" i="1"/>
  <c r="M190" i="1"/>
  <c r="K191" i="1"/>
  <c r="M191" i="1"/>
  <c r="K192" i="1"/>
  <c r="M192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K200" i="1"/>
  <c r="M200" i="1"/>
  <c r="K201" i="1"/>
  <c r="M201" i="1"/>
  <c r="K202" i="1"/>
  <c r="M202" i="1"/>
  <c r="K203" i="1"/>
  <c r="M203" i="1"/>
  <c r="K204" i="1"/>
  <c r="M204" i="1"/>
  <c r="K205" i="1"/>
  <c r="M205" i="1"/>
  <c r="K206" i="1"/>
  <c r="M206" i="1"/>
  <c r="K207" i="1"/>
  <c r="M207" i="1"/>
  <c r="K208" i="1"/>
  <c r="M208" i="1"/>
  <c r="K209" i="1"/>
  <c r="M209" i="1"/>
  <c r="K210" i="1"/>
  <c r="M210" i="1"/>
  <c r="K211" i="1"/>
  <c r="M211" i="1"/>
  <c r="K212" i="1"/>
  <c r="M212" i="1"/>
  <c r="K213" i="1"/>
  <c r="M213" i="1"/>
  <c r="K214" i="1"/>
  <c r="M214" i="1"/>
  <c r="K215" i="1"/>
  <c r="M215" i="1"/>
  <c r="K216" i="1"/>
  <c r="M216" i="1"/>
  <c r="K217" i="1"/>
  <c r="M217" i="1"/>
  <c r="K218" i="1"/>
  <c r="M218" i="1"/>
  <c r="K219" i="1"/>
  <c r="M219" i="1"/>
  <c r="K220" i="1"/>
  <c r="M220" i="1"/>
  <c r="K221" i="1"/>
  <c r="M221" i="1"/>
  <c r="K222" i="1"/>
  <c r="M222" i="1"/>
  <c r="K223" i="1"/>
  <c r="M223" i="1"/>
  <c r="K224" i="1"/>
  <c r="M224" i="1"/>
  <c r="K225" i="1"/>
  <c r="M225" i="1"/>
  <c r="K226" i="1"/>
  <c r="M226" i="1"/>
  <c r="K227" i="1"/>
  <c r="M227" i="1"/>
  <c r="K228" i="1"/>
  <c r="M228" i="1"/>
  <c r="K229" i="1"/>
  <c r="M229" i="1"/>
  <c r="K230" i="1"/>
  <c r="M230" i="1"/>
  <c r="K231" i="1"/>
  <c r="M231" i="1"/>
  <c r="K232" i="1"/>
  <c r="M232" i="1"/>
  <c r="K233" i="1"/>
  <c r="M233" i="1"/>
  <c r="K234" i="1"/>
  <c r="M234" i="1"/>
  <c r="K235" i="1"/>
  <c r="M235" i="1"/>
  <c r="K236" i="1"/>
  <c r="M236" i="1"/>
  <c r="K237" i="1"/>
  <c r="M237" i="1"/>
  <c r="K238" i="1"/>
  <c r="M238" i="1"/>
  <c r="K239" i="1"/>
  <c r="M239" i="1"/>
  <c r="K240" i="1"/>
  <c r="M240" i="1"/>
  <c r="K241" i="1"/>
  <c r="M241" i="1"/>
  <c r="K242" i="1"/>
  <c r="M242" i="1"/>
  <c r="K243" i="1"/>
  <c r="M243" i="1"/>
  <c r="K244" i="1"/>
  <c r="M244" i="1"/>
  <c r="K245" i="1"/>
  <c r="M245" i="1"/>
  <c r="K246" i="1"/>
  <c r="M246" i="1"/>
  <c r="K247" i="1"/>
  <c r="M247" i="1"/>
  <c r="K248" i="1"/>
  <c r="M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M5" i="1"/>
  <c r="K5" i="1"/>
  <c r="D14" i="7"/>
  <c r="D9" i="7"/>
  <c r="T97" i="1" l="1"/>
  <c r="T96" i="1"/>
  <c r="T95" i="1"/>
  <c r="T94" i="1"/>
  <c r="T93" i="1"/>
  <c r="T77" i="1"/>
  <c r="T76" i="1"/>
  <c r="T75" i="1"/>
  <c r="T74" i="1"/>
  <c r="T73" i="1"/>
  <c r="T72" i="1"/>
  <c r="T22" i="1"/>
  <c r="T21" i="1"/>
  <c r="T20" i="1"/>
  <c r="T23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3" i="1"/>
  <c r="T48" i="1"/>
  <c r="T47" i="1"/>
  <c r="T46" i="1"/>
  <c r="T45" i="1"/>
  <c r="T43" i="1"/>
  <c r="T44" i="1"/>
  <c r="T54" i="1"/>
  <c r="T52" i="1"/>
  <c r="T51" i="1"/>
  <c r="T50" i="1"/>
  <c r="T49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5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19" i="1"/>
  <c r="D11" i="7"/>
  <c r="D15" i="7"/>
  <c r="D17" i="7"/>
  <c r="D13" i="7"/>
  <c r="D12" i="7"/>
  <c r="D16" i="7"/>
  <c r="D5" i="7"/>
  <c r="D7" i="7"/>
  <c r="D18" i="7"/>
  <c r="D4" i="7"/>
  <c r="D10" i="7"/>
  <c r="D8" i="7"/>
  <c r="D6" i="7"/>
  <c r="D4" i="9"/>
  <c r="E5" i="9"/>
  <c r="D5" i="9" s="1"/>
  <c r="E6" i="9"/>
  <c r="D6" i="9" s="1"/>
  <c r="E7" i="9"/>
  <c r="D7" i="9" s="1"/>
  <c r="E8" i="9"/>
  <c r="D8" i="9" s="1"/>
  <c r="E9" i="9"/>
  <c r="D9" i="9" s="1"/>
  <c r="E10" i="9"/>
  <c r="D10" i="9" s="1"/>
  <c r="E11" i="9"/>
  <c r="D11" i="9" s="1"/>
  <c r="E12" i="9"/>
  <c r="D12" i="9" s="1"/>
  <c r="E13" i="9"/>
  <c r="D13" i="9" s="1"/>
  <c r="E14" i="9"/>
  <c r="D14" i="9" s="1"/>
  <c r="E15" i="9"/>
  <c r="D15" i="9" s="1"/>
  <c r="E16" i="9"/>
  <c r="D16" i="9" s="1"/>
  <c r="E17" i="9"/>
  <c r="D17" i="9" s="1"/>
  <c r="E18" i="9"/>
  <c r="D18" i="9" s="1"/>
  <c r="E19" i="9"/>
  <c r="D19" i="9" s="1"/>
  <c r="E20" i="9"/>
  <c r="D20" i="9" s="1"/>
  <c r="E21" i="9"/>
  <c r="D21" i="9" s="1"/>
  <c r="E22" i="9"/>
  <c r="D22" i="9" s="1"/>
  <c r="E23" i="9" l="1"/>
  <c r="D24" i="7"/>
  <c r="D23" i="7"/>
  <c r="D4" i="8" l="1"/>
  <c r="C8" i="10"/>
  <c r="D8" i="10"/>
  <c r="C9" i="10"/>
  <c r="D9" i="10"/>
  <c r="C7" i="10"/>
  <c r="D7" i="10"/>
  <c r="C5" i="10"/>
  <c r="D5" i="10"/>
  <c r="C6" i="10"/>
  <c r="D6" i="10"/>
  <c r="C10" i="10"/>
  <c r="D10" i="10"/>
  <c r="C11" i="10"/>
  <c r="D11" i="10"/>
  <c r="C12" i="10"/>
  <c r="D12" i="10"/>
  <c r="D4" i="10"/>
  <c r="C4" i="10"/>
  <c r="C4" i="11"/>
  <c r="D4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D25" i="11"/>
  <c r="C25" i="11"/>
  <c r="D6" i="11"/>
  <c r="D7" i="11"/>
  <c r="D8" i="11"/>
  <c r="D9" i="11"/>
  <c r="D10" i="11"/>
  <c r="D11" i="11"/>
  <c r="D12" i="11"/>
  <c r="D13" i="11"/>
  <c r="C6" i="11"/>
  <c r="C7" i="11"/>
  <c r="C8" i="11"/>
  <c r="C9" i="11"/>
  <c r="C10" i="11"/>
  <c r="C11" i="11"/>
  <c r="C12" i="11"/>
  <c r="C13" i="11"/>
  <c r="C5" i="11"/>
  <c r="D5" i="11"/>
  <c r="D16" i="8"/>
  <c r="E16" i="8" s="1"/>
  <c r="D5" i="13"/>
  <c r="D6" i="13"/>
  <c r="D7" i="13"/>
  <c r="D8" i="13"/>
  <c r="D9" i="13"/>
  <c r="D10" i="13"/>
  <c r="D11" i="13"/>
  <c r="D12" i="13"/>
  <c r="D13" i="13"/>
  <c r="D14" i="13"/>
  <c r="D15" i="13"/>
  <c r="D4" i="13"/>
  <c r="F15" i="13" l="1"/>
  <c r="F14" i="13"/>
  <c r="F13" i="13"/>
  <c r="F12" i="13"/>
  <c r="F11" i="13"/>
  <c r="F10" i="13"/>
  <c r="F9" i="13"/>
  <c r="F8" i="13"/>
  <c r="F7" i="13"/>
  <c r="F6" i="13"/>
  <c r="F5" i="13"/>
  <c r="F4" i="13"/>
  <c r="E5" i="11"/>
  <c r="G5" i="11"/>
  <c r="F5" i="11"/>
  <c r="E13" i="11"/>
  <c r="G13" i="11"/>
  <c r="F13" i="11"/>
  <c r="E11" i="11"/>
  <c r="G11" i="11"/>
  <c r="F11" i="11"/>
  <c r="E9" i="11"/>
  <c r="G9" i="11"/>
  <c r="F9" i="11"/>
  <c r="E7" i="11"/>
  <c r="G7" i="11"/>
  <c r="F7" i="11"/>
  <c r="F24" i="11"/>
  <c r="G24" i="11"/>
  <c r="E24" i="11"/>
  <c r="E23" i="11"/>
  <c r="G23" i="11"/>
  <c r="F23" i="11"/>
  <c r="F22" i="11"/>
  <c r="E22" i="11"/>
  <c r="G22" i="11"/>
  <c r="E21" i="11"/>
  <c r="G21" i="11"/>
  <c r="F21" i="11"/>
  <c r="F20" i="11"/>
  <c r="G20" i="11"/>
  <c r="E20" i="11"/>
  <c r="E19" i="11"/>
  <c r="G19" i="11"/>
  <c r="F19" i="11"/>
  <c r="F18" i="11"/>
  <c r="E18" i="11"/>
  <c r="G18" i="11"/>
  <c r="E17" i="11"/>
  <c r="G17" i="11"/>
  <c r="F17" i="11"/>
  <c r="F16" i="11"/>
  <c r="G16" i="11"/>
  <c r="E16" i="11"/>
  <c r="E15" i="11"/>
  <c r="G15" i="11"/>
  <c r="F15" i="11"/>
  <c r="F14" i="11"/>
  <c r="E14" i="11"/>
  <c r="G14" i="11"/>
  <c r="F4" i="11"/>
  <c r="G4" i="11"/>
  <c r="E4" i="11"/>
  <c r="E12" i="10"/>
  <c r="G12" i="10"/>
  <c r="I12" i="10"/>
  <c r="H12" i="10"/>
  <c r="F12" i="10"/>
  <c r="J12" i="10"/>
  <c r="E11" i="10"/>
  <c r="G11" i="10"/>
  <c r="I11" i="10"/>
  <c r="F11" i="10"/>
  <c r="J11" i="10"/>
  <c r="H11" i="10"/>
  <c r="E10" i="10"/>
  <c r="G10" i="10"/>
  <c r="I10" i="10"/>
  <c r="H10" i="10"/>
  <c r="F10" i="10"/>
  <c r="J10" i="10"/>
  <c r="E6" i="10"/>
  <c r="G6" i="10"/>
  <c r="I6" i="10"/>
  <c r="F6" i="10"/>
  <c r="J6" i="10"/>
  <c r="H6" i="10"/>
  <c r="E5" i="10"/>
  <c r="G5" i="10"/>
  <c r="I5" i="10"/>
  <c r="H5" i="10"/>
  <c r="F5" i="10"/>
  <c r="J5" i="10"/>
  <c r="E7" i="10"/>
  <c r="G7" i="10"/>
  <c r="I7" i="10"/>
  <c r="F7" i="10"/>
  <c r="J7" i="10"/>
  <c r="H7" i="10"/>
  <c r="E9" i="10"/>
  <c r="G9" i="10"/>
  <c r="I9" i="10"/>
  <c r="H9" i="10"/>
  <c r="F9" i="10"/>
  <c r="J9" i="10"/>
  <c r="E8" i="10"/>
  <c r="G8" i="10"/>
  <c r="I8" i="10"/>
  <c r="F8" i="10"/>
  <c r="J8" i="10"/>
  <c r="H8" i="10"/>
  <c r="F12" i="11"/>
  <c r="G12" i="11"/>
  <c r="E12" i="11"/>
  <c r="F10" i="11"/>
  <c r="E10" i="11"/>
  <c r="G10" i="11"/>
  <c r="F8" i="11"/>
  <c r="G8" i="11"/>
  <c r="E8" i="11"/>
  <c r="F6" i="11"/>
  <c r="E6" i="11"/>
  <c r="G6" i="11"/>
  <c r="E25" i="11"/>
  <c r="G25" i="11"/>
  <c r="F25" i="11"/>
  <c r="J4" i="10"/>
  <c r="H4" i="10"/>
  <c r="F4" i="10"/>
  <c r="I4" i="10"/>
  <c r="E4" i="10"/>
  <c r="G4" i="10"/>
  <c r="D23" i="8"/>
  <c r="E4" i="8"/>
  <c r="E23" i="8" s="1"/>
  <c r="C6" i="13"/>
  <c r="C7" i="13"/>
  <c r="C8" i="13"/>
  <c r="C9" i="13"/>
  <c r="C10" i="13"/>
  <c r="C11" i="13"/>
  <c r="C12" i="13"/>
  <c r="C13" i="13"/>
  <c r="C14" i="13"/>
  <c r="C15" i="13"/>
  <c r="C5" i="13"/>
  <c r="E15" i="13" l="1"/>
  <c r="E14" i="13"/>
  <c r="E13" i="13"/>
  <c r="E12" i="13"/>
  <c r="E11" i="13"/>
  <c r="E10" i="13"/>
  <c r="E9" i="13"/>
  <c r="E8" i="13"/>
  <c r="E7" i="13"/>
  <c r="E6" i="13"/>
  <c r="E5" i="13"/>
  <c r="C16" i="13"/>
  <c r="D16" i="13"/>
  <c r="E16" i="13" l="1"/>
  <c r="D26" i="11" l="1"/>
  <c r="G26" i="11"/>
  <c r="E26" i="11"/>
  <c r="C26" i="11"/>
  <c r="I13" i="10"/>
  <c r="D18" i="8"/>
  <c r="E18" i="8" s="1"/>
  <c r="D17" i="8"/>
  <c r="E17" i="8" s="1"/>
  <c r="D15" i="8"/>
  <c r="E15" i="8" s="1"/>
  <c r="D14" i="8"/>
  <c r="E14" i="8" s="1"/>
  <c r="D13" i="8"/>
  <c r="E13" i="8" s="1"/>
  <c r="D12" i="8"/>
  <c r="E12" i="8" s="1"/>
  <c r="D11" i="8"/>
  <c r="D10" i="8"/>
  <c r="E10" i="8" s="1"/>
  <c r="D9" i="8"/>
  <c r="E9" i="8" s="1"/>
  <c r="D8" i="8"/>
  <c r="E8" i="8" s="1"/>
  <c r="D7" i="8"/>
  <c r="E7" i="8" s="1"/>
  <c r="D6" i="8"/>
  <c r="D5" i="8"/>
  <c r="W324" i="1"/>
  <c r="O3" i="1"/>
  <c r="N3" i="1"/>
  <c r="L3" i="1"/>
  <c r="I3" i="1"/>
  <c r="M3" i="1" l="1"/>
  <c r="E27" i="8"/>
  <c r="D24" i="8"/>
  <c r="E5" i="8"/>
  <c r="E24" i="8" s="1"/>
  <c r="E6" i="8"/>
  <c r="E25" i="8" s="1"/>
  <c r="D25" i="8"/>
  <c r="D26" i="8"/>
  <c r="E11" i="8"/>
  <c r="E26" i="8" s="1"/>
  <c r="D27" i="8"/>
  <c r="L4" i="8"/>
  <c r="D27" i="7"/>
  <c r="D13" i="10"/>
  <c r="C13" i="10"/>
  <c r="K3" i="1"/>
  <c r="D19" i="8"/>
  <c r="E13" i="10"/>
  <c r="H13" i="10"/>
  <c r="J13" i="10"/>
  <c r="L20" i="9"/>
  <c r="T3" i="1" l="1"/>
  <c r="E19" i="8"/>
  <c r="D23" i="9"/>
  <c r="F16" i="13"/>
  <c r="D26" i="7"/>
  <c r="D25" i="7"/>
  <c r="D28" i="7"/>
  <c r="D19" i="7"/>
  <c r="K4" i="7"/>
  <c r="F26" i="11"/>
  <c r="G13" i="10"/>
  <c r="F13" i="10"/>
</calcChain>
</file>

<file path=xl/sharedStrings.xml><?xml version="1.0" encoding="utf-8"?>
<sst xmlns="http://schemas.openxmlformats.org/spreadsheetml/2006/main" count="663" uniqueCount="224">
  <si>
    <t>Contract Date</t>
  </si>
  <si>
    <t>Direct Costs</t>
  </si>
  <si>
    <t>Product</t>
  </si>
  <si>
    <t>Net Sale</t>
  </si>
  <si>
    <t>Margin</t>
  </si>
  <si>
    <t>Comm $</t>
  </si>
  <si>
    <t>Comm %</t>
  </si>
  <si>
    <t>Customer</t>
  </si>
  <si>
    <t>Installer</t>
  </si>
  <si>
    <t>City</t>
  </si>
  <si>
    <t>Over (Under) Par</t>
  </si>
  <si>
    <t>Addtl Incent</t>
  </si>
  <si>
    <t xml:space="preserve">  </t>
  </si>
  <si>
    <t>W (A)</t>
  </si>
  <si>
    <t>IR</t>
  </si>
  <si>
    <t>B</t>
  </si>
  <si>
    <t>K</t>
  </si>
  <si>
    <t>LC</t>
  </si>
  <si>
    <t>W</t>
  </si>
  <si>
    <t>OP</t>
  </si>
  <si>
    <t>Designer</t>
  </si>
  <si>
    <t>Average Margin</t>
  </si>
  <si>
    <t>VP</t>
  </si>
  <si>
    <t>#</t>
  </si>
  <si>
    <t>FP</t>
  </si>
  <si>
    <t>Notes</t>
  </si>
  <si>
    <t>SR-VV</t>
  </si>
  <si>
    <t>SR-306</t>
  </si>
  <si>
    <t>SR-206</t>
  </si>
  <si>
    <t>SR-406</t>
  </si>
  <si>
    <t>SCR-WO</t>
  </si>
  <si>
    <t>Overall average</t>
  </si>
  <si>
    <t>Sunroom</t>
  </si>
  <si>
    <t>Windows</t>
  </si>
  <si>
    <t>Patio Covers</t>
  </si>
  <si>
    <t>Kitchen &amp; Bath</t>
  </si>
  <si>
    <t>Category</t>
  </si>
  <si>
    <t>Average margin by product</t>
  </si>
  <si>
    <t>Average Sale</t>
  </si>
  <si>
    <t>PC &amp; SR</t>
  </si>
  <si>
    <t>Total sales</t>
  </si>
  <si>
    <t>x̅ Sale</t>
  </si>
  <si>
    <t>x̅ Margin</t>
  </si>
  <si>
    <t>x̅ Comm %</t>
  </si>
  <si>
    <t>x̅ Over/Under</t>
  </si>
  <si>
    <t>x̅ Additional incentive</t>
  </si>
  <si>
    <t>Total additional incentive</t>
  </si>
  <si>
    <t>Total # of sales</t>
  </si>
  <si>
    <t>Totals to date</t>
  </si>
  <si>
    <t>Product by classification</t>
  </si>
  <si>
    <t>Average margin</t>
  </si>
  <si>
    <t>Location</t>
  </si>
  <si>
    <t>Total # of sales closed</t>
  </si>
  <si>
    <t>D</t>
  </si>
  <si>
    <t>Uncategorized</t>
  </si>
  <si>
    <t>Total Margin</t>
  </si>
  <si>
    <t>Chris</t>
  </si>
  <si>
    <t>Kitchen</t>
  </si>
  <si>
    <t>BS</t>
  </si>
  <si>
    <t>Bath</t>
  </si>
  <si>
    <t>Romo</t>
  </si>
  <si>
    <t>DG</t>
  </si>
  <si>
    <t>LJ</t>
  </si>
  <si>
    <t>Brad</t>
  </si>
  <si>
    <t>ABQ</t>
  </si>
  <si>
    <t>JP</t>
  </si>
  <si>
    <t>Rio Rancho</t>
  </si>
  <si>
    <t>AG</t>
  </si>
  <si>
    <t>Jory</t>
  </si>
  <si>
    <t>Edgewood</t>
  </si>
  <si>
    <t>Placitas</t>
  </si>
  <si>
    <t>Santa Fe</t>
  </si>
  <si>
    <t>Dominic</t>
  </si>
  <si>
    <t>Sandia Park</t>
  </si>
  <si>
    <t>AC</t>
  </si>
  <si>
    <t>Alex</t>
  </si>
  <si>
    <t>Veguita</t>
  </si>
  <si>
    <t>Moriarity</t>
  </si>
  <si>
    <t>Healey</t>
  </si>
  <si>
    <t>JQ</t>
  </si>
  <si>
    <t>Thomas</t>
  </si>
  <si>
    <t>Jason</t>
  </si>
  <si>
    <t>Pena Blanca</t>
  </si>
  <si>
    <t>Belen</t>
  </si>
  <si>
    <t>jemez</t>
  </si>
  <si>
    <t>los Alamos</t>
  </si>
  <si>
    <t>los Lunas</t>
  </si>
  <si>
    <t>tijeras</t>
  </si>
  <si>
    <t>Labor $</t>
  </si>
  <si>
    <t>Labor %</t>
  </si>
  <si>
    <t>Profit %</t>
  </si>
  <si>
    <t>Material $</t>
  </si>
  <si>
    <t>Material %</t>
  </si>
  <si>
    <t>2024 Job Cost, Margin and Commission Summary</t>
  </si>
  <si>
    <t>Clayton G</t>
  </si>
  <si>
    <t>Johnson</t>
  </si>
  <si>
    <t>Solomon / Yazzie</t>
  </si>
  <si>
    <t>Sanchez</t>
  </si>
  <si>
    <t>Los Lunas</t>
  </si>
  <si>
    <t>Michael R</t>
  </si>
  <si>
    <t>Byrnes</t>
  </si>
  <si>
    <t>Keim</t>
  </si>
  <si>
    <t>Zupan</t>
  </si>
  <si>
    <t>Zeph W</t>
  </si>
  <si>
    <t>Staten</t>
  </si>
  <si>
    <t>Mike R</t>
  </si>
  <si>
    <t>Bradley</t>
  </si>
  <si>
    <t>Greigo</t>
  </si>
  <si>
    <t>Moriarty</t>
  </si>
  <si>
    <t>Bailey</t>
  </si>
  <si>
    <t>Schnedler</t>
  </si>
  <si>
    <t>ServePro</t>
  </si>
  <si>
    <t>Jason H</t>
  </si>
  <si>
    <t>Brcka</t>
  </si>
  <si>
    <t>Chris M</t>
  </si>
  <si>
    <t>Lowe</t>
  </si>
  <si>
    <t>Genesan</t>
  </si>
  <si>
    <t>Histia</t>
  </si>
  <si>
    <t>Sadler</t>
  </si>
  <si>
    <t>Aubuchon</t>
  </si>
  <si>
    <t>Green</t>
  </si>
  <si>
    <t>Bowen</t>
  </si>
  <si>
    <t>SCR</t>
  </si>
  <si>
    <t>Enderich/Preger</t>
  </si>
  <si>
    <t>Espanola</t>
  </si>
  <si>
    <t>Nagel</t>
  </si>
  <si>
    <t>Watt</t>
  </si>
  <si>
    <t>Clauss</t>
  </si>
  <si>
    <t>Sorrell</t>
  </si>
  <si>
    <t>Gould</t>
  </si>
  <si>
    <t>Alzahawy</t>
  </si>
  <si>
    <t>Brugger</t>
  </si>
  <si>
    <t>Machado</t>
  </si>
  <si>
    <t>DB</t>
  </si>
  <si>
    <t>Solomon/Yazzie</t>
  </si>
  <si>
    <t>Skeets</t>
  </si>
  <si>
    <t>Barrington</t>
  </si>
  <si>
    <t>Koelm</t>
  </si>
  <si>
    <t>B-FR</t>
  </si>
  <si>
    <t>Los Ranchos</t>
  </si>
  <si>
    <t>Yanes</t>
  </si>
  <si>
    <t>LP</t>
  </si>
  <si>
    <t>Alexander</t>
  </si>
  <si>
    <t>Neese</t>
  </si>
  <si>
    <t>Kellet</t>
  </si>
  <si>
    <t>Bentley</t>
  </si>
  <si>
    <t>Laguna</t>
  </si>
  <si>
    <t>Williams</t>
  </si>
  <si>
    <t>Waples/Cox</t>
  </si>
  <si>
    <t>Richardson</t>
  </si>
  <si>
    <t>Edmonds</t>
  </si>
  <si>
    <t>Matchael</t>
  </si>
  <si>
    <t>Farmington</t>
  </si>
  <si>
    <t>CG</t>
  </si>
  <si>
    <t>Joshua F</t>
  </si>
  <si>
    <t>Cobbs</t>
  </si>
  <si>
    <t>Alzonso</t>
  </si>
  <si>
    <t>Benally</t>
  </si>
  <si>
    <t>Tijeras</t>
  </si>
  <si>
    <t>Shekter</t>
  </si>
  <si>
    <t>Albuquerque</t>
  </si>
  <si>
    <t>Ashworth</t>
  </si>
  <si>
    <t>Yonkers</t>
  </si>
  <si>
    <t>ZM</t>
  </si>
  <si>
    <t>Baar</t>
  </si>
  <si>
    <t>BM</t>
  </si>
  <si>
    <t>Newton</t>
  </si>
  <si>
    <t>Bernal(Am. Restoration)</t>
  </si>
  <si>
    <t>Vigil</t>
  </si>
  <si>
    <t>Guzman</t>
  </si>
  <si>
    <t>Hall</t>
  </si>
  <si>
    <t>Collins</t>
  </si>
  <si>
    <t>Clark</t>
  </si>
  <si>
    <t>Grabowski</t>
  </si>
  <si>
    <t>AM</t>
  </si>
  <si>
    <t>Banning</t>
  </si>
  <si>
    <t>Wilson</t>
  </si>
  <si>
    <t>Laster</t>
  </si>
  <si>
    <t>Pecotte</t>
  </si>
  <si>
    <t>RJ</t>
  </si>
  <si>
    <t>Askan</t>
  </si>
  <si>
    <t>Rudolfo</t>
  </si>
  <si>
    <t>Moya</t>
  </si>
  <si>
    <t>Corrales</t>
  </si>
  <si>
    <t>Bonney / Trotter</t>
  </si>
  <si>
    <t>Otero</t>
  </si>
  <si>
    <t>Wood</t>
  </si>
  <si>
    <t>Hamilton/Raczynski</t>
  </si>
  <si>
    <t>Adrian N</t>
  </si>
  <si>
    <t>Stein</t>
  </si>
  <si>
    <t>Trent</t>
  </si>
  <si>
    <t>Yakabe</t>
  </si>
  <si>
    <t>Felix</t>
  </si>
  <si>
    <t>McConeghey</t>
  </si>
  <si>
    <t>Kerns</t>
  </si>
  <si>
    <t>Hart</t>
  </si>
  <si>
    <t>Millard/Finestein</t>
  </si>
  <si>
    <t>Zetterholm</t>
  </si>
  <si>
    <t>Kerr</t>
  </si>
  <si>
    <t>Goude</t>
  </si>
  <si>
    <t>Tombaugh</t>
  </si>
  <si>
    <t>Medrano</t>
  </si>
  <si>
    <t>Sheldon</t>
  </si>
  <si>
    <t>Mellor</t>
  </si>
  <si>
    <t>Hyde</t>
  </si>
  <si>
    <t>Gibson</t>
  </si>
  <si>
    <t>Preston</t>
  </si>
  <si>
    <t>Aubert</t>
  </si>
  <si>
    <t>Gatan</t>
  </si>
  <si>
    <t>Vasquez</t>
  </si>
  <si>
    <t>Weil</t>
  </si>
  <si>
    <t>SR-VS</t>
  </si>
  <si>
    <t>Smith</t>
  </si>
  <si>
    <t>Jaramillo</t>
  </si>
  <si>
    <t>Peralta</t>
  </si>
  <si>
    <t>Perger</t>
  </si>
  <si>
    <t>Perg</t>
  </si>
  <si>
    <t>Isis S</t>
  </si>
  <si>
    <t>Nagle</t>
  </si>
  <si>
    <t>McGuill</t>
  </si>
  <si>
    <t>Benavidez</t>
  </si>
  <si>
    <t>Zmuda</t>
  </si>
  <si>
    <t>Alire</t>
  </si>
  <si>
    <t>Trembley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</si>
</sst>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mm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Fill="1"/>
    <xf numFmtId="164" fontId="4" fillId="0" borderId="3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0" fillId="0" borderId="0" xfId="0" applyFill="1"/>
    <xf numFmtId="10" fontId="0" fillId="0" borderId="18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0" xfId="0" applyFill="1" applyBorder="1" applyAlignment="1"/>
    <xf numFmtId="1" fontId="0" fillId="0" borderId="2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0" fillId="0" borderId="26" xfId="0" applyBorder="1"/>
    <xf numFmtId="0" fontId="0" fillId="0" borderId="9" xfId="0" applyBorder="1"/>
    <xf numFmtId="0" fontId="0" fillId="0" borderId="27" xfId="0" applyBorder="1" applyAlignment="1">
      <alignment horizontal="center"/>
    </xf>
    <xf numFmtId="0" fontId="0" fillId="0" borderId="0" xfId="0" applyBorder="1"/>
    <xf numFmtId="0" fontId="0" fillId="0" borderId="28" xfId="0" applyBorder="1"/>
    <xf numFmtId="0" fontId="0" fillId="0" borderId="2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5" fontId="0" fillId="0" borderId="29" xfId="0" applyNumberForma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8" xfId="0" applyBorder="1"/>
    <xf numFmtId="0" fontId="0" fillId="0" borderId="27" xfId="0" applyBorder="1"/>
    <xf numFmtId="0" fontId="0" fillId="0" borderId="10" xfId="0" applyBorder="1"/>
    <xf numFmtId="164" fontId="0" fillId="0" borderId="3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64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0" fillId="0" borderId="2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44" fontId="0" fillId="0" borderId="0" xfId="0" applyNumberFormat="1" applyFill="1" applyAlignment="1">
      <alignment horizontal="center"/>
    </xf>
    <xf numFmtId="40" fontId="0" fillId="0" borderId="0" xfId="0" applyNumberFormat="1" applyFill="1"/>
    <xf numFmtId="10" fontId="1" fillId="0" borderId="0" xfId="0" applyNumberFormat="1" applyFont="1" applyFill="1" applyAlignment="1">
      <alignment horizontal="center"/>
    </xf>
    <xf numFmtId="44" fontId="1" fillId="0" borderId="0" xfId="0" applyNumberFormat="1" applyFont="1" applyFill="1" applyAlignment="1">
      <alignment horizontal="center"/>
    </xf>
    <xf numFmtId="40" fontId="1" fillId="0" borderId="0" xfId="0" applyNumberFormat="1" applyFont="1" applyFill="1"/>
    <xf numFmtId="10" fontId="3" fillId="0" borderId="5" xfId="0" applyNumberFormat="1" applyFont="1" applyFill="1" applyBorder="1" applyAlignment="1">
      <alignment horizontal="center" vertical="center"/>
    </xf>
    <xf numFmtId="44" fontId="3" fillId="0" borderId="5" xfId="1" applyNumberFormat="1" applyFont="1" applyFill="1" applyBorder="1" applyAlignment="1">
      <alignment horizontal="center" vertical="center"/>
    </xf>
    <xf numFmtId="44" fontId="3" fillId="0" borderId="6" xfId="1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44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44" fontId="3" fillId="0" borderId="2" xfId="0" applyNumberFormat="1" applyFont="1" applyFill="1" applyBorder="1" applyAlignment="1">
      <alignment horizontal="center"/>
    </xf>
    <xf numFmtId="4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0" fontId="1" fillId="0" borderId="1" xfId="0" applyNumberFormat="1" applyFont="1" applyFill="1" applyBorder="1"/>
    <xf numFmtId="0" fontId="1" fillId="0" borderId="0" xfId="0" applyFont="1" applyFill="1" applyBorder="1"/>
    <xf numFmtId="40" fontId="0" fillId="0" borderId="1" xfId="0" applyNumberFormat="1" applyFont="1" applyFill="1" applyBorder="1"/>
    <xf numFmtId="40" fontId="0" fillId="0" borderId="1" xfId="0" applyNumberFormat="1" applyFill="1" applyBorder="1"/>
    <xf numFmtId="2" fontId="1" fillId="0" borderId="0" xfId="0" applyNumberFormat="1" applyFont="1" applyFill="1"/>
    <xf numFmtId="39" fontId="1" fillId="0" borderId="0" xfId="0" applyNumberFormat="1" applyFont="1" applyFill="1"/>
    <xf numFmtId="10" fontId="0" fillId="0" borderId="0" xfId="0" applyNumberFormat="1" applyFill="1" applyAlignment="1">
      <alignment horizontal="center"/>
    </xf>
    <xf numFmtId="1" fontId="0" fillId="0" borderId="18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44" fontId="3" fillId="0" borderId="7" xfId="1" applyNumberFormat="1" applyFont="1" applyFill="1" applyBorder="1" applyAlignment="1">
      <alignment horizontal="center" vertical="center"/>
    </xf>
    <xf numFmtId="44" fontId="1" fillId="0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44" fontId="1" fillId="0" borderId="35" xfId="0" applyNumberFormat="1" applyFont="1" applyFill="1" applyBorder="1" applyAlignment="1">
      <alignment horizontal="center"/>
    </xf>
    <xf numFmtId="39" fontId="1" fillId="0" borderId="1" xfId="0" applyNumberFormat="1" applyFont="1" applyFill="1" applyBorder="1" applyAlignment="1">
      <alignment horizontal="center"/>
    </xf>
    <xf numFmtId="44" fontId="1" fillId="0" borderId="32" xfId="0" applyNumberFormat="1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0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35" xfId="0" applyNumberFormat="1" applyFont="1" applyFill="1" applyBorder="1" applyAlignment="1">
      <alignment horizontal="center"/>
    </xf>
    <xf numFmtId="10" fontId="3" fillId="0" borderId="6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4" fontId="0" fillId="0" borderId="0" xfId="0" applyNumberFormat="1" applyFill="1" applyAlignment="1">
      <alignment horizontal="left" vertical="center" wrapText="1"/>
    </xf>
    <xf numFmtId="44" fontId="0" fillId="0" borderId="2" xfId="0" applyNumberFormat="1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0" fillId="4" borderId="2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 vertical="center" wrapText="1"/>
    </xf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1" xfId="0" applyNumberFormat="1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0" fontId="4" fillId="0" borderId="13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Margin Analysis'!$D$2</c:f>
              <c:strCache>
                <c:ptCount val="1"/>
                <c:pt idx="0">
                  <c:v>Average margin by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Margin Analysis'!$D$4:$D$18</c:f>
              <c:numCache>
                <c:formatCode>0.0%</c:formatCode>
                <c:ptCount val="15"/>
                <c:pt idx="0">
                  <c:v>0.58779856807576036</c:v>
                </c:pt>
                <c:pt idx="1">
                  <c:v>0.5889594239681567</c:v>
                </c:pt>
                <c:pt idx="2">
                  <c:v>0.50085987798404807</c:v>
                </c:pt>
                <c:pt idx="3">
                  <c:v>0.55770092777319047</c:v>
                </c:pt>
                <c:pt idx="4">
                  <c:v>0.55321826162572552</c:v>
                </c:pt>
                <c:pt idx="5">
                  <c:v>0.66662947193991506</c:v>
                </c:pt>
                <c:pt idx="6">
                  <c:v>0.58073499626239589</c:v>
                </c:pt>
                <c:pt idx="7">
                  <c:v>0.43109403823153797</c:v>
                </c:pt>
                <c:pt idx="8">
                  <c:v>0</c:v>
                </c:pt>
                <c:pt idx="9">
                  <c:v>0.49084742951706911</c:v>
                </c:pt>
                <c:pt idx="10">
                  <c:v>0</c:v>
                </c:pt>
                <c:pt idx="11">
                  <c:v>0</c:v>
                </c:pt>
                <c:pt idx="12">
                  <c:v>0.57078671186019181</c:v>
                </c:pt>
                <c:pt idx="13">
                  <c:v>0</c:v>
                </c:pt>
                <c:pt idx="14">
                  <c:v>0.61563182363841551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gapDepth val="100"/>
        <c:shape val="box"/>
        <c:axId val="802989824"/>
        <c:axId val="802987864"/>
        <c:axId val="0"/>
      </c:bar3DChart>
      <c:catAx>
        <c:axId val="8029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7864"/>
        <c:crosses val="autoZero"/>
        <c:auto val="1"/>
        <c:lblAlgn val="ctr"/>
        <c:lblOffset val="100"/>
        <c:noMultiLvlLbl val="0"/>
      </c:catAx>
      <c:valAx>
        <c:axId val="802987864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Analysis'!$F$4:$F$11</c:f>
              <c:numCache>
                <c:formatCode>0.00%</c:formatCode>
                <c:ptCount val="8"/>
                <c:pt idx="0">
                  <c:v>0</c:v>
                </c:pt>
                <c:pt idx="1">
                  <c:v>0.57053682391180371</c:v>
                </c:pt>
                <c:pt idx="2">
                  <c:v>0</c:v>
                </c:pt>
                <c:pt idx="3">
                  <c:v>0.55163711773948731</c:v>
                </c:pt>
                <c:pt idx="4">
                  <c:v>0.58734064955294407</c:v>
                </c:pt>
                <c:pt idx="5">
                  <c:v>0.55867141010289489</c:v>
                </c:pt>
                <c:pt idx="6">
                  <c:v>0.52682644019267921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57593968"/>
        <c:axId val="584434368"/>
        <c:axId val="0"/>
      </c:bar3DChart>
      <c:catAx>
        <c:axId val="75759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34368"/>
        <c:crosses val="autoZero"/>
        <c:auto val="1"/>
        <c:lblAlgn val="ctr"/>
        <c:lblOffset val="100"/>
        <c:noMultiLvlLbl val="0"/>
      </c:catAx>
      <c:valAx>
        <c:axId val="58443436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x̅ Comm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Analysis'!$G$4:$G$11</c:f>
              <c:numCache>
                <c:formatCode>0.00%</c:formatCode>
                <c:ptCount val="8"/>
                <c:pt idx="0">
                  <c:v>0</c:v>
                </c:pt>
                <c:pt idx="1">
                  <c:v>0.12516460236954002</c:v>
                </c:pt>
                <c:pt idx="2">
                  <c:v>0</c:v>
                </c:pt>
                <c:pt idx="3">
                  <c:v>0.10435809096342713</c:v>
                </c:pt>
                <c:pt idx="4">
                  <c:v>0.12635108113710761</c:v>
                </c:pt>
                <c:pt idx="5">
                  <c:v>0.10795421537778556</c:v>
                </c:pt>
                <c:pt idx="6">
                  <c:v>0.11466969250818633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94087288"/>
        <c:axId val="594092384"/>
        <c:axId val="0"/>
      </c:bar3DChart>
      <c:catAx>
        <c:axId val="59408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92384"/>
        <c:crosses val="autoZero"/>
        <c:auto val="1"/>
        <c:lblAlgn val="ctr"/>
        <c:lblOffset val="100"/>
        <c:noMultiLvlLbl val="0"/>
      </c:catAx>
      <c:valAx>
        <c:axId val="5940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1"/>
          <c:dPt>
            <c:idx val="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Analysis'!$H$4:$H$11</c:f>
              <c:numCache>
                <c:formatCode>"$"#,##0.00</c:formatCode>
                <c:ptCount val="8"/>
                <c:pt idx="0">
                  <c:v>0</c:v>
                </c:pt>
                <c:pt idx="1">
                  <c:v>863.21263157894737</c:v>
                </c:pt>
                <c:pt idx="2">
                  <c:v>0</c:v>
                </c:pt>
                <c:pt idx="3">
                  <c:v>-1420.8824999999999</c:v>
                </c:pt>
                <c:pt idx="4">
                  <c:v>1981.9193333333335</c:v>
                </c:pt>
                <c:pt idx="5">
                  <c:v>763.09</c:v>
                </c:pt>
                <c:pt idx="6">
                  <c:v>1283.1300000000003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14:spPr>
              </c14:invertSolidFillFmt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94092776"/>
        <c:axId val="594093168"/>
        <c:axId val="0"/>
      </c:bar3DChart>
      <c:catAx>
        <c:axId val="5940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93168"/>
        <c:crossesAt val="-500"/>
        <c:auto val="1"/>
        <c:lblAlgn val="ctr"/>
        <c:lblOffset val="100"/>
        <c:noMultiLvlLbl val="0"/>
      </c:catAx>
      <c:valAx>
        <c:axId val="59409316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9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Analysis'!$I$4:$I$11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3915.85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94090032"/>
        <c:axId val="594090424"/>
        <c:axId val="0"/>
      </c:bar3DChart>
      <c:catAx>
        <c:axId val="5940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90424"/>
        <c:crosses val="autoZero"/>
        <c:auto val="1"/>
        <c:lblAlgn val="ctr"/>
        <c:lblOffset val="100"/>
        <c:noMultiLvlLbl val="0"/>
      </c:catAx>
      <c:valAx>
        <c:axId val="59409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Analysis'!$J$4:$J$11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489.48124999999999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94086112"/>
        <c:axId val="594089640"/>
        <c:axId val="0"/>
      </c:bar3DChart>
      <c:catAx>
        <c:axId val="5940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9640"/>
        <c:crosses val="autoZero"/>
        <c:auto val="1"/>
        <c:lblAlgn val="ctr"/>
        <c:lblOffset val="100"/>
        <c:noMultiLvlLbl val="0"/>
      </c:catAx>
      <c:valAx>
        <c:axId val="594089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4"/>
                <c:pt idx="0">
                  <c:v>ABQ</c:v>
                </c:pt>
                <c:pt idx="1">
                  <c:v>Belen</c:v>
                </c:pt>
                <c:pt idx="2">
                  <c:v>Edgewood</c:v>
                </c:pt>
                <c:pt idx="3">
                  <c:v>jemez</c:v>
                </c:pt>
                <c:pt idx="4">
                  <c:v>los Alamos</c:v>
                </c:pt>
                <c:pt idx="5">
                  <c:v>los Lunas</c:v>
                </c:pt>
                <c:pt idx="6">
                  <c:v>Moriarity</c:v>
                </c:pt>
                <c:pt idx="7">
                  <c:v>Pena Blanca</c:v>
                </c:pt>
                <c:pt idx="8">
                  <c:v>Placitas</c:v>
                </c:pt>
                <c:pt idx="9">
                  <c:v>Rio Rancho</c:v>
                </c:pt>
                <c:pt idx="10">
                  <c:v>Sandia Park</c:v>
                </c:pt>
                <c:pt idx="11">
                  <c:v>Santa Fe</c:v>
                </c:pt>
                <c:pt idx="12">
                  <c:v>tijeras</c:v>
                </c:pt>
                <c:pt idx="13">
                  <c:v>Veguita</c:v>
                </c:pt>
              </c:strCache>
            </c:strRef>
          </c:cat>
          <c:val>
            <c:numRef>
              <c:f>'Sales Location Analysis'!$C$4:$C$25</c:f>
              <c:numCache>
                <c:formatCode>"$"#,##0.00</c:formatCode>
                <c:ptCount val="22"/>
                <c:pt idx="0">
                  <c:v>1092594.08</c:v>
                </c:pt>
                <c:pt idx="1">
                  <c:v>0</c:v>
                </c:pt>
                <c:pt idx="2">
                  <c:v>120058.67</c:v>
                </c:pt>
                <c:pt idx="3">
                  <c:v>0</c:v>
                </c:pt>
                <c:pt idx="4">
                  <c:v>0</c:v>
                </c:pt>
                <c:pt idx="5">
                  <c:v>7305.51</c:v>
                </c:pt>
                <c:pt idx="6">
                  <c:v>0</c:v>
                </c:pt>
                <c:pt idx="7">
                  <c:v>0</c:v>
                </c:pt>
                <c:pt idx="8">
                  <c:v>27712.01</c:v>
                </c:pt>
                <c:pt idx="9">
                  <c:v>253006.13</c:v>
                </c:pt>
                <c:pt idx="10">
                  <c:v>32256.01</c:v>
                </c:pt>
                <c:pt idx="11">
                  <c:v>65408.35</c:v>
                </c:pt>
                <c:pt idx="12">
                  <c:v>19775.87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94087680"/>
        <c:axId val="594091600"/>
        <c:axId val="0"/>
      </c:bar3DChart>
      <c:catAx>
        <c:axId val="5940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91600"/>
        <c:crosses val="autoZero"/>
        <c:auto val="1"/>
        <c:lblAlgn val="ctr"/>
        <c:lblOffset val="100"/>
        <c:noMultiLvlLbl val="0"/>
      </c:catAx>
      <c:valAx>
        <c:axId val="594091600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4"/>
                <c:pt idx="0">
                  <c:v>ABQ</c:v>
                </c:pt>
                <c:pt idx="1">
                  <c:v>Belen</c:v>
                </c:pt>
                <c:pt idx="2">
                  <c:v>Edgewood</c:v>
                </c:pt>
                <c:pt idx="3">
                  <c:v>jemez</c:v>
                </c:pt>
                <c:pt idx="4">
                  <c:v>los Alamos</c:v>
                </c:pt>
                <c:pt idx="5">
                  <c:v>los Lunas</c:v>
                </c:pt>
                <c:pt idx="6">
                  <c:v>Moriarity</c:v>
                </c:pt>
                <c:pt idx="7">
                  <c:v>Pena Blanca</c:v>
                </c:pt>
                <c:pt idx="8">
                  <c:v>Placitas</c:v>
                </c:pt>
                <c:pt idx="9">
                  <c:v>Rio Rancho</c:v>
                </c:pt>
                <c:pt idx="10">
                  <c:v>Sandia Park</c:v>
                </c:pt>
                <c:pt idx="11">
                  <c:v>Santa Fe</c:v>
                </c:pt>
                <c:pt idx="12">
                  <c:v>tijeras</c:v>
                </c:pt>
                <c:pt idx="13">
                  <c:v>Veguita</c:v>
                </c:pt>
              </c:strCache>
            </c:strRef>
          </c:cat>
          <c:val>
            <c:numRef>
              <c:f>'Sales Location Analysis'!$D$4:$D$25</c:f>
              <c:numCache>
                <c:formatCode>0</c:formatCode>
                <c:ptCount val="22"/>
                <c:pt idx="0">
                  <c:v>56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14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94088856"/>
        <c:axId val="463699112"/>
        <c:axId val="0"/>
      </c:bar3DChart>
      <c:catAx>
        <c:axId val="59408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112"/>
        <c:crosses val="autoZero"/>
        <c:auto val="1"/>
        <c:lblAlgn val="ctr"/>
        <c:lblOffset val="100"/>
        <c:noMultiLvlLbl val="0"/>
      </c:catAx>
      <c:valAx>
        <c:axId val="463699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4"/>
                <c:pt idx="0">
                  <c:v>ABQ</c:v>
                </c:pt>
                <c:pt idx="1">
                  <c:v>Belen</c:v>
                </c:pt>
                <c:pt idx="2">
                  <c:v>Edgewood</c:v>
                </c:pt>
                <c:pt idx="3">
                  <c:v>jemez</c:v>
                </c:pt>
                <c:pt idx="4">
                  <c:v>los Alamos</c:v>
                </c:pt>
                <c:pt idx="5">
                  <c:v>los Lunas</c:v>
                </c:pt>
                <c:pt idx="6">
                  <c:v>Moriarity</c:v>
                </c:pt>
                <c:pt idx="7">
                  <c:v>Pena Blanca</c:v>
                </c:pt>
                <c:pt idx="8">
                  <c:v>Placitas</c:v>
                </c:pt>
                <c:pt idx="9">
                  <c:v>Rio Rancho</c:v>
                </c:pt>
                <c:pt idx="10">
                  <c:v>Sandia Park</c:v>
                </c:pt>
                <c:pt idx="11">
                  <c:v>Santa Fe</c:v>
                </c:pt>
                <c:pt idx="12">
                  <c:v>tijeras</c:v>
                </c:pt>
                <c:pt idx="13">
                  <c:v>Veguita</c:v>
                </c:pt>
              </c:strCache>
            </c:strRef>
          </c:cat>
          <c:val>
            <c:numRef>
              <c:f>'Sales Location Analysis'!$E$4:$E$25</c:f>
              <c:numCache>
                <c:formatCode>"$"#,##0.00</c:formatCode>
                <c:ptCount val="22"/>
                <c:pt idx="0">
                  <c:v>19510.608571428573</c:v>
                </c:pt>
                <c:pt idx="1">
                  <c:v>0</c:v>
                </c:pt>
                <c:pt idx="2">
                  <c:v>24011.734</c:v>
                </c:pt>
                <c:pt idx="3">
                  <c:v>0</c:v>
                </c:pt>
                <c:pt idx="4">
                  <c:v>0</c:v>
                </c:pt>
                <c:pt idx="5">
                  <c:v>7305.51</c:v>
                </c:pt>
                <c:pt idx="6">
                  <c:v>0</c:v>
                </c:pt>
                <c:pt idx="7">
                  <c:v>0</c:v>
                </c:pt>
                <c:pt idx="8">
                  <c:v>13856.004999999999</c:v>
                </c:pt>
                <c:pt idx="9">
                  <c:v>18071.866428571429</c:v>
                </c:pt>
                <c:pt idx="10">
                  <c:v>32256.01</c:v>
                </c:pt>
                <c:pt idx="11">
                  <c:v>16352.0875</c:v>
                </c:pt>
                <c:pt idx="12">
                  <c:v>19775.87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696760"/>
        <c:axId val="463700288"/>
        <c:axId val="0"/>
      </c:bar3DChart>
      <c:catAx>
        <c:axId val="46369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00288"/>
        <c:crosses val="autoZero"/>
        <c:auto val="1"/>
        <c:lblAlgn val="ctr"/>
        <c:lblOffset val="100"/>
        <c:noMultiLvlLbl val="0"/>
      </c:catAx>
      <c:valAx>
        <c:axId val="463700288"/>
        <c:scaling>
          <c:orientation val="minMax"/>
          <c:max val="3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4"/>
                <c:pt idx="0">
                  <c:v>ABQ</c:v>
                </c:pt>
                <c:pt idx="1">
                  <c:v>Belen</c:v>
                </c:pt>
                <c:pt idx="2">
                  <c:v>Edgewood</c:v>
                </c:pt>
                <c:pt idx="3">
                  <c:v>jemez</c:v>
                </c:pt>
                <c:pt idx="4">
                  <c:v>los Alamos</c:v>
                </c:pt>
                <c:pt idx="5">
                  <c:v>los Lunas</c:v>
                </c:pt>
                <c:pt idx="6">
                  <c:v>Moriarity</c:v>
                </c:pt>
                <c:pt idx="7">
                  <c:v>Pena Blanca</c:v>
                </c:pt>
                <c:pt idx="8">
                  <c:v>Placitas</c:v>
                </c:pt>
                <c:pt idx="9">
                  <c:v>Rio Rancho</c:v>
                </c:pt>
                <c:pt idx="10">
                  <c:v>Sandia Park</c:v>
                </c:pt>
                <c:pt idx="11">
                  <c:v>Santa Fe</c:v>
                </c:pt>
                <c:pt idx="12">
                  <c:v>tijeras</c:v>
                </c:pt>
                <c:pt idx="13">
                  <c:v>Veguita</c:v>
                </c:pt>
              </c:strCache>
            </c:strRef>
          </c:cat>
          <c:val>
            <c:numRef>
              <c:f>'Sales Location Analysis'!$F$4:$F$25</c:f>
              <c:numCache>
                <c:formatCode>0.00%</c:formatCode>
                <c:ptCount val="22"/>
                <c:pt idx="0">
                  <c:v>0.57085694470357384</c:v>
                </c:pt>
                <c:pt idx="1">
                  <c:v>0</c:v>
                </c:pt>
                <c:pt idx="2">
                  <c:v>0.54052463797950678</c:v>
                </c:pt>
                <c:pt idx="3">
                  <c:v>0</c:v>
                </c:pt>
                <c:pt idx="4">
                  <c:v>0</c:v>
                </c:pt>
                <c:pt idx="5">
                  <c:v>0.53441032864235349</c:v>
                </c:pt>
                <c:pt idx="6">
                  <c:v>0</c:v>
                </c:pt>
                <c:pt idx="7">
                  <c:v>0</c:v>
                </c:pt>
                <c:pt idx="8">
                  <c:v>0.55050002544939836</c:v>
                </c:pt>
                <c:pt idx="9">
                  <c:v>0.56503720709026395</c:v>
                </c:pt>
                <c:pt idx="10">
                  <c:v>0.48590076701985147</c:v>
                </c:pt>
                <c:pt idx="11">
                  <c:v>0.58306899662344813</c:v>
                </c:pt>
                <c:pt idx="12">
                  <c:v>0.56555893621873521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703816"/>
        <c:axId val="463697544"/>
        <c:axId val="0"/>
      </c:bar3DChart>
      <c:catAx>
        <c:axId val="46370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7544"/>
        <c:crosses val="autoZero"/>
        <c:auto val="1"/>
        <c:lblAlgn val="ctr"/>
        <c:lblOffset val="100"/>
        <c:noMultiLvlLbl val="0"/>
      </c:catAx>
      <c:valAx>
        <c:axId val="4636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0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1"/>
          <c:dPt>
            <c:idx val="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4"/>
                <c:pt idx="0">
                  <c:v>ABQ</c:v>
                </c:pt>
                <c:pt idx="1">
                  <c:v>Belen</c:v>
                </c:pt>
                <c:pt idx="2">
                  <c:v>Edgewood</c:v>
                </c:pt>
                <c:pt idx="3">
                  <c:v>jemez</c:v>
                </c:pt>
                <c:pt idx="4">
                  <c:v>los Alamos</c:v>
                </c:pt>
                <c:pt idx="5">
                  <c:v>los Lunas</c:v>
                </c:pt>
                <c:pt idx="6">
                  <c:v>Moriarity</c:v>
                </c:pt>
                <c:pt idx="7">
                  <c:v>Pena Blanca</c:v>
                </c:pt>
                <c:pt idx="8">
                  <c:v>Placitas</c:v>
                </c:pt>
                <c:pt idx="9">
                  <c:v>Rio Rancho</c:v>
                </c:pt>
                <c:pt idx="10">
                  <c:v>Sandia Park</c:v>
                </c:pt>
                <c:pt idx="11">
                  <c:v>Santa Fe</c:v>
                </c:pt>
                <c:pt idx="12">
                  <c:v>tijeras</c:v>
                </c:pt>
                <c:pt idx="13">
                  <c:v>Veguita</c:v>
                </c:pt>
              </c:strCache>
            </c:strRef>
          </c:cat>
          <c:val>
            <c:numRef>
              <c:f>'Sales Location Analysis'!$G$4:$G$25</c:f>
              <c:numCache>
                <c:formatCode>"$"#,##0.00</c:formatCode>
                <c:ptCount val="22"/>
                <c:pt idx="0">
                  <c:v>1130.7930357142855</c:v>
                </c:pt>
                <c:pt idx="1">
                  <c:v>0</c:v>
                </c:pt>
                <c:pt idx="2">
                  <c:v>1491.4879999999998</c:v>
                </c:pt>
                <c:pt idx="3">
                  <c:v>0</c:v>
                </c:pt>
                <c:pt idx="4">
                  <c:v>0</c:v>
                </c:pt>
                <c:pt idx="5">
                  <c:v>923.61</c:v>
                </c:pt>
                <c:pt idx="6">
                  <c:v>0</c:v>
                </c:pt>
                <c:pt idx="7">
                  <c:v>0</c:v>
                </c:pt>
                <c:pt idx="8">
                  <c:v>113.685</c:v>
                </c:pt>
                <c:pt idx="9">
                  <c:v>1077.6992857142857</c:v>
                </c:pt>
                <c:pt idx="10">
                  <c:v>-306.99</c:v>
                </c:pt>
                <c:pt idx="11">
                  <c:v>1352.2250000000001</c:v>
                </c:pt>
                <c:pt idx="12">
                  <c:v>553.16999999999996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14:spPr>
              </c14:invertSolidFillFmt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701072"/>
        <c:axId val="463704208"/>
        <c:axId val="0"/>
      </c:bar3DChart>
      <c:catAx>
        <c:axId val="4637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04208"/>
        <c:crossesAt val="-500"/>
        <c:auto val="1"/>
        <c:lblAlgn val="ctr"/>
        <c:lblOffset val="100"/>
        <c:noMultiLvlLbl val="0"/>
      </c:catAx>
      <c:valAx>
        <c:axId val="46370420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 by Product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Analysis'!$B$23:$B$31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Analysis'!$C$23:$C$31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Analysis'!$B$23:$B$31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Analysis'!$D$23:$D$31</c:f>
              <c:numCache>
                <c:formatCode>0.0%</c:formatCode>
                <c:ptCount val="9"/>
                <c:pt idx="0">
                  <c:v>0.58779856807576036</c:v>
                </c:pt>
                <c:pt idx="1">
                  <c:v>0.5889594239681567</c:v>
                </c:pt>
                <c:pt idx="2">
                  <c:v>0.57182870711705502</c:v>
                </c:pt>
                <c:pt idx="3">
                  <c:v>0.46097073387430354</c:v>
                </c:pt>
                <c:pt idx="4">
                  <c:v>0.59320926774930371</c:v>
                </c:pt>
                <c:pt idx="5">
                  <c:v>0.56519508295759135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802990216"/>
        <c:axId val="769367280"/>
        <c:axId val="0"/>
      </c:bar3DChart>
      <c:catAx>
        <c:axId val="8029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67280"/>
        <c:crosses val="autoZero"/>
        <c:auto val="1"/>
        <c:lblAlgn val="ctr"/>
        <c:lblOffset val="100"/>
        <c:noMultiLvlLbl val="0"/>
      </c:catAx>
      <c:valAx>
        <c:axId val="76936728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9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month'!$C$2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month'!$C$4:$C$15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3700680"/>
        <c:axId val="8094056"/>
        <c:axId val="0"/>
      </c:bar3DChart>
      <c:dateAx>
        <c:axId val="463700680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056"/>
        <c:crosses val="autoZero"/>
        <c:auto val="1"/>
        <c:lblOffset val="100"/>
        <c:baseTimeUnit val="months"/>
      </c:dateAx>
      <c:valAx>
        <c:axId val="8094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0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month'!$D$4:$D$15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8091312"/>
        <c:axId val="8091704"/>
        <c:axId val="0"/>
      </c:bar3DChart>
      <c:dateAx>
        <c:axId val="8091312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704"/>
        <c:crosses val="autoZero"/>
        <c:auto val="1"/>
        <c:lblOffset val="100"/>
        <c:baseTimeUnit val="months"/>
      </c:dateAx>
      <c:valAx>
        <c:axId val="8091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month'!$E$4:$E$15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8092096"/>
        <c:axId val="8093272"/>
        <c:axId val="0"/>
      </c:bar3DChart>
      <c:dateAx>
        <c:axId val="8092096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272"/>
        <c:crosses val="autoZero"/>
        <c:auto val="1"/>
        <c:lblOffset val="100"/>
        <c:baseTimeUnit val="months"/>
      </c:dateAx>
      <c:valAx>
        <c:axId val="80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month'!$F$4:$F$15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8094840"/>
        <c:axId val="791560368"/>
        <c:axId val="0"/>
      </c:bar3DChart>
      <c:dateAx>
        <c:axId val="8094840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60368"/>
        <c:crosses val="autoZero"/>
        <c:auto val="1"/>
        <c:lblOffset val="100"/>
        <c:baseTimeUnit val="months"/>
      </c:dateAx>
      <c:valAx>
        <c:axId val="79156036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Revenue Analysis'!$D$2</c:f>
              <c:strCache>
                <c:ptCount val="1"/>
                <c:pt idx="0">
                  <c:v>Net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Analysis'!$D$4:$D$18</c:f>
              <c:numCache>
                <c:formatCode>"$"#,##0.00</c:formatCode>
                <c:ptCount val="15"/>
                <c:pt idx="0">
                  <c:v>648000.26</c:v>
                </c:pt>
                <c:pt idx="1">
                  <c:v>172163.32</c:v>
                </c:pt>
                <c:pt idx="2">
                  <c:v>87410.94</c:v>
                </c:pt>
                <c:pt idx="3">
                  <c:v>19498.3</c:v>
                </c:pt>
                <c:pt idx="4">
                  <c:v>100715.05</c:v>
                </c:pt>
                <c:pt idx="5">
                  <c:v>26975.15</c:v>
                </c:pt>
                <c:pt idx="6">
                  <c:v>29435.7</c:v>
                </c:pt>
                <c:pt idx="7">
                  <c:v>14799.3</c:v>
                </c:pt>
                <c:pt idx="8">
                  <c:v>0</c:v>
                </c:pt>
                <c:pt idx="9">
                  <c:v>381830.03000000009</c:v>
                </c:pt>
                <c:pt idx="10">
                  <c:v>0</c:v>
                </c:pt>
                <c:pt idx="11">
                  <c:v>0</c:v>
                </c:pt>
                <c:pt idx="12">
                  <c:v>7720.87</c:v>
                </c:pt>
                <c:pt idx="13">
                  <c:v>0</c:v>
                </c:pt>
                <c:pt idx="14">
                  <c:v>140154.39000000001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69366496"/>
        <c:axId val="797670528"/>
        <c:axId val="0"/>
      </c:bar3DChart>
      <c:catAx>
        <c:axId val="7693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70528"/>
        <c:crosses val="autoZero"/>
        <c:auto val="1"/>
        <c:lblAlgn val="ctr"/>
        <c:lblOffset val="100"/>
        <c:noMultiLvlLbl val="0"/>
      </c:catAx>
      <c:valAx>
        <c:axId val="79767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'Product Revenue Analysis'!$E$2</c:f>
              <c:strCache>
                <c:ptCount val="1"/>
                <c:pt idx="0">
                  <c:v>Average Sale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Analysis'!$E$4:$E$18</c:f>
              <c:numCache>
                <c:formatCode>"$"#,##0.00</c:formatCode>
                <c:ptCount val="15"/>
                <c:pt idx="0">
                  <c:v>14400.005777777778</c:v>
                </c:pt>
                <c:pt idx="1">
                  <c:v>34432.664000000004</c:v>
                </c:pt>
                <c:pt idx="2">
                  <c:v>12487.277142857143</c:v>
                </c:pt>
                <c:pt idx="3">
                  <c:v>19498.3</c:v>
                </c:pt>
                <c:pt idx="4">
                  <c:v>12589.38125</c:v>
                </c:pt>
                <c:pt idx="5">
                  <c:v>26975.15</c:v>
                </c:pt>
                <c:pt idx="6">
                  <c:v>9811.9</c:v>
                </c:pt>
                <c:pt idx="7">
                  <c:v>14799.3</c:v>
                </c:pt>
                <c:pt idx="8">
                  <c:v>0</c:v>
                </c:pt>
                <c:pt idx="9">
                  <c:v>42425.558888888896</c:v>
                </c:pt>
                <c:pt idx="10">
                  <c:v>0</c:v>
                </c:pt>
                <c:pt idx="11">
                  <c:v>0</c:v>
                </c:pt>
                <c:pt idx="12">
                  <c:v>7720.87</c:v>
                </c:pt>
                <c:pt idx="13">
                  <c:v>0</c:v>
                </c:pt>
                <c:pt idx="14">
                  <c:v>28030.878000000004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57591224"/>
        <c:axId val="75759044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'Product Revenue Analysis'!$D$2</c15:sqref>
                        </c15:formulaRef>
                      </c:ext>
                    </c:extLst>
                    <c:strCache>
                      <c:ptCount val="1"/>
                      <c:pt idx="0">
                        <c:v>Net Sale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'Product Revenue Analysis'!$C$4:$C$18</c15:sqref>
                        </c15:formulaRef>
                      </c:ext>
                    </c:extLst>
                    <c:strCache>
                      <c:ptCount val="15"/>
                      <c:pt idx="0">
                        <c:v>B</c:v>
                      </c:pt>
                      <c:pt idx="1">
                        <c:v>K</c:v>
                      </c:pt>
                      <c:pt idx="2">
                        <c:v>FP</c:v>
                      </c:pt>
                      <c:pt idx="3">
                        <c:v>IR</c:v>
                      </c:pt>
                      <c:pt idx="4">
                        <c:v>LC</c:v>
                      </c:pt>
                      <c:pt idx="5">
                        <c:v>OP</c:v>
                      </c:pt>
                      <c:pt idx="6">
                        <c:v>VP</c:v>
                      </c:pt>
                      <c:pt idx="7">
                        <c:v>SR-206</c:v>
                      </c:pt>
                      <c:pt idx="8">
                        <c:v>SR-306</c:v>
                      </c:pt>
                      <c:pt idx="9">
                        <c:v>SR-406</c:v>
                      </c:pt>
                      <c:pt idx="10">
                        <c:v>SR-VV</c:v>
                      </c:pt>
                      <c:pt idx="11">
                        <c:v>SCR-WO</c:v>
                      </c:pt>
                      <c:pt idx="12">
                        <c:v>D</c:v>
                      </c:pt>
                      <c:pt idx="13">
                        <c:v>W (A)</c:v>
                      </c:pt>
                      <c:pt idx="14">
                        <c:v>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 Revenue Analysis'!$D$4:$D$18</c15:sqref>
                        </c15:formulaRef>
                      </c:ext>
                    </c:extLst>
                    <c:numCache>
                      <c:formatCode>"$"#,##0.00</c:formatCode>
                      <c:ptCount val="15"/>
                      <c:pt idx="0">
                        <c:v>648000.26</c:v>
                      </c:pt>
                      <c:pt idx="1">
                        <c:v>172163.32</c:v>
                      </c:pt>
                      <c:pt idx="2">
                        <c:v>87410.94</c:v>
                      </c:pt>
                      <c:pt idx="3">
                        <c:v>19498.3</c:v>
                      </c:pt>
                      <c:pt idx="4">
                        <c:v>100715.05</c:v>
                      </c:pt>
                      <c:pt idx="5">
                        <c:v>26975.15</c:v>
                      </c:pt>
                      <c:pt idx="6">
                        <c:v>29435.7</c:v>
                      </c:pt>
                      <c:pt idx="7">
                        <c:v>14799.3</c:v>
                      </c:pt>
                      <c:pt idx="8">
                        <c:v>0</c:v>
                      </c:pt>
                      <c:pt idx="9">
                        <c:v>381830.03000000009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7720.87</c:v>
                      </c:pt>
                      <c:pt idx="13">
                        <c:v>0</c:v>
                      </c:pt>
                      <c:pt idx="14">
                        <c:v>140154.39000000001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7B2E-42DF-B7AE-C73110D5DC8B}"/>
                  </c:ext>
                </c:extLst>
              </c15:ser>
            </c15:filteredBarSeries>
          </c:ext>
        </c:extLst>
      </c:bar3DChart>
      <c:catAx>
        <c:axId val="75759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90440"/>
        <c:crosses val="autoZero"/>
        <c:auto val="1"/>
        <c:lblAlgn val="ctr"/>
        <c:lblOffset val="100"/>
        <c:noMultiLvlLbl val="0"/>
      </c:catAx>
      <c:valAx>
        <c:axId val="757590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9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Analysis'!$B$23:$B$29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Analysis'!$C$23:$C$29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Analysis'!$B$23:$B$29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Analysis'!$D$23:$D$29</c:f>
              <c:numCache>
                <c:formatCode>"$"#,##0.00</c:formatCode>
                <c:ptCount val="7"/>
                <c:pt idx="0">
                  <c:v>648000.26</c:v>
                </c:pt>
                <c:pt idx="1">
                  <c:v>172163.32</c:v>
                </c:pt>
                <c:pt idx="2">
                  <c:v>264035.14</c:v>
                </c:pt>
                <c:pt idx="3">
                  <c:v>396629.33000000007</c:v>
                </c:pt>
                <c:pt idx="4">
                  <c:v>147875.26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57592792"/>
        <c:axId val="757595144"/>
        <c:axId val="0"/>
      </c:bar3DChart>
      <c:catAx>
        <c:axId val="75759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95144"/>
        <c:crosses val="autoZero"/>
        <c:auto val="1"/>
        <c:lblAlgn val="ctr"/>
        <c:lblOffset val="100"/>
        <c:noMultiLvlLbl val="0"/>
      </c:catAx>
      <c:valAx>
        <c:axId val="757595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9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Analysis'!$C$4:$C$22</c:f>
              <c:strCache>
                <c:ptCount val="9"/>
                <c:pt idx="0">
                  <c:v>Alex</c:v>
                </c:pt>
                <c:pt idx="1">
                  <c:v>Brad</c:v>
                </c:pt>
                <c:pt idx="2">
                  <c:v>Chris</c:v>
                </c:pt>
                <c:pt idx="3">
                  <c:v>Dominic</c:v>
                </c:pt>
                <c:pt idx="4">
                  <c:v>Jason</c:v>
                </c:pt>
                <c:pt idx="5">
                  <c:v>Jory</c:v>
                </c:pt>
                <c:pt idx="6">
                  <c:v>Healey</c:v>
                </c:pt>
                <c:pt idx="7">
                  <c:v>Romo</c:v>
                </c:pt>
                <c:pt idx="8">
                  <c:v>Thomas</c:v>
                </c:pt>
              </c:strCache>
            </c:strRef>
          </c:cat>
          <c:val>
            <c:numRef>
              <c:f>'Installer Analysis'!$D$4:$D$22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0.54495665536167504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57591616"/>
        <c:axId val="757589264"/>
        <c:axId val="0"/>
      </c:bar3DChart>
      <c:catAx>
        <c:axId val="7575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89264"/>
        <c:crosses val="autoZero"/>
        <c:auto val="1"/>
        <c:lblAlgn val="ctr"/>
        <c:lblOffset val="100"/>
        <c:noMultiLvlLbl val="0"/>
      </c:catAx>
      <c:valAx>
        <c:axId val="757589264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'Designer Analysis'!$C$2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Analysis'!$C$4:$C$11</c:f>
              <c:numCache>
                <c:formatCode>"$"#,##0.00</c:formatCode>
                <c:ptCount val="8"/>
                <c:pt idx="0">
                  <c:v>0</c:v>
                </c:pt>
                <c:pt idx="1">
                  <c:v>236693.05000000002</c:v>
                </c:pt>
                <c:pt idx="2">
                  <c:v>0</c:v>
                </c:pt>
                <c:pt idx="3">
                  <c:v>173842.74</c:v>
                </c:pt>
                <c:pt idx="4">
                  <c:v>349370.62999999995</c:v>
                </c:pt>
                <c:pt idx="5">
                  <c:v>11533.13</c:v>
                </c:pt>
                <c:pt idx="6">
                  <c:v>681108.37999999989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57593184"/>
        <c:axId val="757589656"/>
        <c:axId val="0"/>
      </c:bar3DChart>
      <c:catAx>
        <c:axId val="7575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89656"/>
        <c:crosses val="autoZero"/>
        <c:auto val="1"/>
        <c:lblAlgn val="ctr"/>
        <c:lblOffset val="100"/>
        <c:noMultiLvlLbl val="0"/>
      </c:catAx>
      <c:valAx>
        <c:axId val="757589656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9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Analysis'!$D$4:$D$11</c:f>
              <c:numCache>
                <c:formatCode>0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  <c:pt idx="5">
                  <c:v>1</c:v>
                </c:pt>
                <c:pt idx="6">
                  <c:v>27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57592400"/>
        <c:axId val="757588480"/>
        <c:axId val="0"/>
      </c:bar3DChart>
      <c:catAx>
        <c:axId val="7575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88480"/>
        <c:crosses val="autoZero"/>
        <c:auto val="1"/>
        <c:lblAlgn val="ctr"/>
        <c:lblOffset val="100"/>
        <c:noMultiLvlLbl val="0"/>
      </c:catAx>
      <c:valAx>
        <c:axId val="757588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Analysis'!$E$4:$E$11</c:f>
              <c:numCache>
                <c:formatCode>"$"#,##0.00</c:formatCode>
                <c:ptCount val="8"/>
                <c:pt idx="0">
                  <c:v>0</c:v>
                </c:pt>
                <c:pt idx="1">
                  <c:v>12457.528947368422</c:v>
                </c:pt>
                <c:pt idx="2">
                  <c:v>0</c:v>
                </c:pt>
                <c:pt idx="3">
                  <c:v>21730.342499999999</c:v>
                </c:pt>
                <c:pt idx="4">
                  <c:v>23291.37533333333</c:v>
                </c:pt>
                <c:pt idx="5">
                  <c:v>11533.13</c:v>
                </c:pt>
                <c:pt idx="6">
                  <c:v>25226.236296296291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57587696"/>
        <c:axId val="757588088"/>
        <c:axId val="0"/>
      </c:bar3DChart>
      <c:catAx>
        <c:axId val="7575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88088"/>
        <c:crosses val="autoZero"/>
        <c:auto val="1"/>
        <c:lblAlgn val="ctr"/>
        <c:lblOffset val="100"/>
        <c:noMultiLvlLbl val="0"/>
      </c:catAx>
      <c:valAx>
        <c:axId val="75758808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</xdr:rowOff>
    </xdr:from>
    <xdr:to>
      <xdr:col>28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14287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0</xdr:rowOff>
    </xdr:from>
    <xdr:to>
      <xdr:col>28</xdr:col>
      <xdr:colOff>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36</xdr:row>
      <xdr:rowOff>180975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74</xdr:row>
      <xdr:rowOff>14286</xdr:rowOff>
    </xdr:from>
    <xdr:to>
      <xdr:col>28</xdr:col>
      <xdr:colOff>0</xdr:colOff>
      <xdr:row>109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161923</xdr:colOff>
      <xdr:row>1</xdr:row>
      <xdr:rowOff>9525</xdr:rowOff>
    </xdr:from>
    <xdr:to>
      <xdr:col>28</xdr:col>
      <xdr:colOff>590549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15</xdr:row>
      <xdr:rowOff>9525</xdr:rowOff>
    </xdr:from>
    <xdr:to>
      <xdr:col>23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46</xdr:row>
      <xdr:rowOff>195261</xdr:rowOff>
    </xdr:from>
    <xdr:to>
      <xdr:col>23</xdr:col>
      <xdr:colOff>9525</xdr:colOff>
      <xdr:row>77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79</xdr:row>
      <xdr:rowOff>14287</xdr:rowOff>
    </xdr:from>
    <xdr:to>
      <xdr:col>22</xdr:col>
      <xdr:colOff>609599</xdr:colOff>
      <xdr:row>110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111</xdr:row>
      <xdr:rowOff>14287</xdr:rowOff>
    </xdr:from>
    <xdr:to>
      <xdr:col>22</xdr:col>
      <xdr:colOff>600074</xdr:colOff>
      <xdr:row>141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143</xdr:row>
      <xdr:rowOff>4762</xdr:rowOff>
    </xdr:from>
    <xdr:to>
      <xdr:col>23</xdr:col>
      <xdr:colOff>9525</xdr:colOff>
      <xdr:row>173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175</xdr:row>
      <xdr:rowOff>14286</xdr:rowOff>
    </xdr:from>
    <xdr:to>
      <xdr:col>22</xdr:col>
      <xdr:colOff>600075</xdr:colOff>
      <xdr:row>205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207</xdr:row>
      <xdr:rowOff>14287</xdr:rowOff>
    </xdr:from>
    <xdr:to>
      <xdr:col>23</xdr:col>
      <xdr:colOff>0</xdr:colOff>
      <xdr:row>238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9524</xdr:colOff>
      <xdr:row>239</xdr:row>
      <xdr:rowOff>14286</xdr:rowOff>
    </xdr:from>
    <xdr:to>
      <xdr:col>22</xdr:col>
      <xdr:colOff>609599</xdr:colOff>
      <xdr:row>269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28</xdr:row>
      <xdr:rowOff>9525</xdr:rowOff>
    </xdr:from>
    <xdr:to>
      <xdr:col>23</xdr:col>
      <xdr:colOff>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59</xdr:row>
      <xdr:rowOff>195261</xdr:rowOff>
    </xdr:from>
    <xdr:to>
      <xdr:col>23</xdr:col>
      <xdr:colOff>9525</xdr:colOff>
      <xdr:row>90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92</xdr:row>
      <xdr:rowOff>14287</xdr:rowOff>
    </xdr:from>
    <xdr:to>
      <xdr:col>22</xdr:col>
      <xdr:colOff>609599</xdr:colOff>
      <xdr:row>123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124</xdr:row>
      <xdr:rowOff>14287</xdr:rowOff>
    </xdr:from>
    <xdr:to>
      <xdr:col>22</xdr:col>
      <xdr:colOff>600074</xdr:colOff>
      <xdr:row>154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156</xdr:row>
      <xdr:rowOff>4761</xdr:rowOff>
    </xdr:from>
    <xdr:to>
      <xdr:col>22</xdr:col>
      <xdr:colOff>600075</xdr:colOff>
      <xdr:row>186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18</xdr:row>
      <xdr:rowOff>9525</xdr:rowOff>
    </xdr:from>
    <xdr:to>
      <xdr:col>23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195261</xdr:rowOff>
    </xdr:from>
    <xdr:to>
      <xdr:col>23</xdr:col>
      <xdr:colOff>9525</xdr:colOff>
      <xdr:row>80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82</xdr:row>
      <xdr:rowOff>14287</xdr:rowOff>
    </xdr:from>
    <xdr:to>
      <xdr:col>22</xdr:col>
      <xdr:colOff>609599</xdr:colOff>
      <xdr:row>113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114</xdr:row>
      <xdr:rowOff>14287</xdr:rowOff>
    </xdr:from>
    <xdr:to>
      <xdr:col>22</xdr:col>
      <xdr:colOff>600074</xdr:colOff>
      <xdr:row>144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Z599"/>
  <sheetViews>
    <sheetView showGridLines="0" tabSelected="1" zoomScale="90" zoomScaleNormal="90" workbookViewId="0">
      <pane ySplit="4" topLeftCell="A77" activePane="bottomLeft" state="frozen"/>
      <selection activeCell="C1" sqref="C1"/>
      <selection pane="bottomLeft" activeCell="K109" sqref="K109"/>
    </sheetView>
  </sheetViews>
  <sheetFormatPr defaultRowHeight="15" x14ac:dyDescent="0.25"/>
  <cols>
    <col min="1" max="1" width="2" style="23" customWidth="1"/>
    <col min="2" max="2" width="5.85546875" style="29" customWidth="1"/>
    <col min="3" max="3" width="12" style="29" customWidth="1"/>
    <col min="4" max="4" width="11.28515625" style="29" customWidth="1"/>
    <col min="5" max="5" width="11.42578125" style="29" bestFit="1" customWidth="1"/>
    <col min="6" max="6" width="17.28515625" style="117" customWidth="1"/>
    <col min="7" max="7" width="17.85546875" style="29" customWidth="1"/>
    <col min="8" max="8" width="12.5703125" style="29" customWidth="1"/>
    <col min="9" max="9" width="15.7109375" style="81" bestFit="1" customWidth="1"/>
    <col min="10" max="10" width="16.85546875" style="81" bestFit="1" customWidth="1"/>
    <col min="11" max="11" width="10.42578125" style="103" customWidth="1"/>
    <col min="12" max="12" width="15" style="81" customWidth="1"/>
    <col min="13" max="13" width="10.42578125" style="103" customWidth="1"/>
    <col min="14" max="14" width="16" style="81" customWidth="1"/>
    <col min="15" max="16" width="15.5703125" style="81" customWidth="1"/>
    <col min="17" max="17" width="10.42578125" style="81" customWidth="1"/>
    <col min="18" max="18" width="15.5703125" style="81" customWidth="1"/>
    <col min="19" max="19" width="10.42578125" style="81" customWidth="1"/>
    <col min="20" max="20" width="15.5703125" style="81" customWidth="1"/>
    <col min="21" max="21" width="90.42578125" style="82" customWidth="1"/>
    <col min="22" max="22" width="12" style="23" bestFit="1" customWidth="1"/>
    <col min="23" max="24" width="9.140625" style="23"/>
    <col min="25" max="25" width="11.85546875" style="23" bestFit="1" customWidth="1"/>
    <col min="26" max="16384" width="9.140625" style="23"/>
  </cols>
  <sheetData>
    <row r="1" spans="2:25" ht="32.25" customHeight="1" x14ac:dyDescent="0.35">
      <c r="F1" s="128" t="s">
        <v>93</v>
      </c>
      <c r="G1" s="128"/>
      <c r="H1" s="128"/>
      <c r="I1" s="128"/>
      <c r="J1" s="128"/>
      <c r="K1" s="128"/>
      <c r="L1" s="128"/>
      <c r="M1" s="128"/>
      <c r="O1" s="103"/>
      <c r="P1" s="131"/>
      <c r="Q1" s="131"/>
      <c r="R1" s="131"/>
      <c r="S1" s="131"/>
      <c r="T1" s="131"/>
    </row>
    <row r="2" spans="2:25" s="4" customFormat="1" ht="9" customHeight="1" thickBot="1" x14ac:dyDescent="0.3">
      <c r="B2" s="109"/>
      <c r="C2" s="109"/>
      <c r="D2" s="109"/>
      <c r="E2" s="109"/>
      <c r="F2" s="110"/>
      <c r="G2" s="109"/>
      <c r="H2" s="109"/>
      <c r="I2" s="84"/>
      <c r="J2" s="84"/>
      <c r="K2" s="83"/>
      <c r="L2" s="84"/>
      <c r="M2" s="83"/>
      <c r="N2" s="84"/>
      <c r="O2" s="84"/>
      <c r="P2" s="132"/>
      <c r="Q2" s="132"/>
      <c r="R2" s="132"/>
      <c r="S2" s="132"/>
      <c r="T2" s="132"/>
      <c r="U2" s="85"/>
    </row>
    <row r="3" spans="2:25" s="4" customFormat="1" ht="22.5" customHeight="1" thickBot="1" x14ac:dyDescent="0.3">
      <c r="B3" s="109"/>
      <c r="C3" s="109"/>
      <c r="D3" s="109"/>
      <c r="E3" s="109"/>
      <c r="F3" s="110"/>
      <c r="G3" s="129" t="s">
        <v>48</v>
      </c>
      <c r="H3" s="130"/>
      <c r="I3" s="111">
        <f>SUM(I5:INDEX(I5:I1048576,MATCH(TRUE,INDEX(ISBLANK(I5:I1048576),0,0),0)-1,0))</f>
        <v>2033202.7200000004</v>
      </c>
      <c r="J3" s="87">
        <f>SUM(J5:INDEX(J5:J1048576,MATCH(TRUE,INDEX(ISBLANK(J5:J1048576),0,0),0)-1,0))</f>
        <v>884046.53999999969</v>
      </c>
      <c r="K3" s="86">
        <f>(I3-J3)/I3</f>
        <v>0.56519508295759135</v>
      </c>
      <c r="L3" s="87">
        <f>SUM(L5:INDEX(L5:L1048576,MATCH(TRUE,INDEX(ISBLANK(L5:L1048576),0,0),0)-1,0))</f>
        <v>239059.948</v>
      </c>
      <c r="M3" s="86">
        <f>L3/I3</f>
        <v>0.11757801897884533</v>
      </c>
      <c r="N3" s="87">
        <f>SUM(N5:INDEX(N5:N1048576,MATCH(TRUE,INDEX(ISBLANK(N5:N1048576),0,0),0)-1,0))</f>
        <v>123017.34000000003</v>
      </c>
      <c r="O3" s="87">
        <f>SUM(O5:INDEX(O5:O1048576,MATCH(TRUE,INDEX(ISBLANK(O5:O1048576),0,0),0)-1,0))</f>
        <v>4415.8500000000004</v>
      </c>
      <c r="P3" s="88">
        <f>SUM(P5:INDEX(P5:P1048576,MATCH(TRUE,INDEX(ISBLANK(P5:P1048576),0,0),0)-1,0))</f>
        <v>254646.87999999998</v>
      </c>
      <c r="Q3" s="127">
        <f>AVERAGE(Q5:INDEX(Q5:Q1048576,MATCH(TRUE,INDEX(ISBLANK(Q5:Q1048576),0,0),0)-1,0))</f>
        <v>0.13011773427587284</v>
      </c>
      <c r="R3" s="88">
        <f>SUM(R5:INDEX(R5:R1048576,MATCH(TRUE,INDEX(ISBLANK(R5:R1048576),0,0),0)-1,0))</f>
        <v>629399.6599999998</v>
      </c>
      <c r="S3" s="127">
        <f>AVERAGE(S5:INDEX(S5:S1048576,MATCH(TRUE,INDEX(ISBLANK(S5:S1048576),0,0),0)-1,0))</f>
        <v>0.30006208526283551</v>
      </c>
      <c r="T3" s="127">
        <f>K3-M3</f>
        <v>0.44761706397874601</v>
      </c>
      <c r="U3" s="85"/>
    </row>
    <row r="4" spans="2:25" s="94" customFormat="1" ht="18" customHeight="1" thickBot="1" x14ac:dyDescent="0.3">
      <c r="B4" s="108" t="s">
        <v>23</v>
      </c>
      <c r="C4" s="108" t="s">
        <v>9</v>
      </c>
      <c r="D4" s="108" t="s">
        <v>20</v>
      </c>
      <c r="E4" s="108" t="s">
        <v>8</v>
      </c>
      <c r="F4" s="89" t="s">
        <v>0</v>
      </c>
      <c r="G4" s="108" t="s">
        <v>7</v>
      </c>
      <c r="H4" s="125" t="s">
        <v>2</v>
      </c>
      <c r="I4" s="90" t="s">
        <v>3</v>
      </c>
      <c r="J4" s="90" t="s">
        <v>1</v>
      </c>
      <c r="K4" s="91" t="s">
        <v>4</v>
      </c>
      <c r="L4" s="90" t="s">
        <v>5</v>
      </c>
      <c r="M4" s="91" t="s">
        <v>6</v>
      </c>
      <c r="N4" s="90" t="s">
        <v>10</v>
      </c>
      <c r="O4" s="90" t="s">
        <v>11</v>
      </c>
      <c r="P4" s="92" t="s">
        <v>88</v>
      </c>
      <c r="Q4" s="92" t="s">
        <v>89</v>
      </c>
      <c r="R4" s="92" t="s">
        <v>91</v>
      </c>
      <c r="S4" s="92" t="s">
        <v>92</v>
      </c>
      <c r="T4" s="92" t="s">
        <v>90</v>
      </c>
      <c r="U4" s="93" t="s">
        <v>25</v>
      </c>
    </row>
    <row r="5" spans="2:25" s="4" customFormat="1" ht="15.75" x14ac:dyDescent="0.25">
      <c r="B5" s="95">
        <v>1</v>
      </c>
      <c r="C5" s="95" t="s">
        <v>64</v>
      </c>
      <c r="D5" s="95" t="s">
        <v>67</v>
      </c>
      <c r="E5" s="95" t="s">
        <v>94</v>
      </c>
      <c r="F5" s="96">
        <v>45310</v>
      </c>
      <c r="G5" s="95" t="s">
        <v>95</v>
      </c>
      <c r="H5" s="95" t="s">
        <v>15</v>
      </c>
      <c r="I5" s="112">
        <v>10319.16</v>
      </c>
      <c r="J5" s="112">
        <v>4787.1899999999996</v>
      </c>
      <c r="K5" s="113">
        <f>IF(J5,(I5-J5)/I5,"")</f>
        <v>0.53608723965904204</v>
      </c>
      <c r="L5" s="112">
        <v>1034.6199999999999</v>
      </c>
      <c r="M5" s="113">
        <f>IF(J5,L5/I5,"")</f>
        <v>0.10026203683245534</v>
      </c>
      <c r="N5" s="112">
        <v>76.760000000000005</v>
      </c>
      <c r="O5" s="112">
        <v>0</v>
      </c>
      <c r="P5" s="116">
        <f>204.85+1501</f>
        <v>1705.85</v>
      </c>
      <c r="Q5" s="126">
        <f t="shared" ref="Q5:Q68" si="0">IF(P5,P5/I5,"")</f>
        <v>0.16530899801921861</v>
      </c>
      <c r="R5" s="114">
        <f t="shared" ref="R5:R68" si="1">J5-P5</f>
        <v>3081.3399999999997</v>
      </c>
      <c r="S5" s="126">
        <f t="shared" ref="S5:S68" si="2">IF(R5,R5/I5,"")</f>
        <v>0.29860376232173935</v>
      </c>
      <c r="T5" s="126">
        <f t="shared" ref="T5:T68" si="3">IF(L5,K5-M5,"")</f>
        <v>0.43582520282658671</v>
      </c>
      <c r="U5" s="97"/>
      <c r="V5" s="98"/>
      <c r="W5" s="98"/>
      <c r="X5" s="98"/>
      <c r="Y5" s="98"/>
    </row>
    <row r="6" spans="2:25" s="4" customFormat="1" ht="15.75" x14ac:dyDescent="0.25">
      <c r="B6" s="95">
        <f>B5+1</f>
        <v>2</v>
      </c>
      <c r="C6" s="95" t="s">
        <v>70</v>
      </c>
      <c r="D6" s="95" t="s">
        <v>65</v>
      </c>
      <c r="E6" s="95" t="s">
        <v>60</v>
      </c>
      <c r="F6" s="96">
        <v>45299</v>
      </c>
      <c r="G6" s="95" t="s">
        <v>96</v>
      </c>
      <c r="H6" s="95" t="s">
        <v>18</v>
      </c>
      <c r="I6" s="112">
        <v>11533.13</v>
      </c>
      <c r="J6" s="112">
        <v>5089.8999999999996</v>
      </c>
      <c r="K6" s="113">
        <f t="shared" ref="K6:K69" si="4">IF(J6,(I6-J6)/I6,"")</f>
        <v>0.55867141010289489</v>
      </c>
      <c r="L6" s="112">
        <v>1245.05</v>
      </c>
      <c r="M6" s="113">
        <f t="shared" ref="M6:M69" si="5">IF(J6,L6/I6,"")</f>
        <v>0.10795421537778556</v>
      </c>
      <c r="N6" s="112">
        <v>763.09</v>
      </c>
      <c r="O6" s="112">
        <v>0</v>
      </c>
      <c r="P6" s="116">
        <f>1160+202.5</f>
        <v>1362.5</v>
      </c>
      <c r="Q6" s="126">
        <f t="shared" si="0"/>
        <v>0.11813792092866378</v>
      </c>
      <c r="R6" s="114">
        <f t="shared" si="1"/>
        <v>3727.3999999999996</v>
      </c>
      <c r="S6" s="126">
        <f t="shared" si="2"/>
        <v>0.32319066896844134</v>
      </c>
      <c r="T6" s="126">
        <f t="shared" si="3"/>
        <v>0.45071719472510935</v>
      </c>
      <c r="U6" s="99"/>
      <c r="V6" s="98"/>
      <c r="W6" s="98"/>
      <c r="X6" s="98"/>
      <c r="Y6" s="98"/>
    </row>
    <row r="7" spans="2:25" s="4" customFormat="1" ht="15.75" x14ac:dyDescent="0.25">
      <c r="B7" s="95">
        <f t="shared" ref="B7:B70" si="6">B6+1</f>
        <v>3</v>
      </c>
      <c r="C7" s="95" t="s">
        <v>64</v>
      </c>
      <c r="D7" s="95" t="s">
        <v>67</v>
      </c>
      <c r="E7" s="95" t="s">
        <v>94</v>
      </c>
      <c r="F7" s="96">
        <v>45328</v>
      </c>
      <c r="G7" s="95" t="s">
        <v>97</v>
      </c>
      <c r="H7" s="95" t="s">
        <v>15</v>
      </c>
      <c r="I7" s="112">
        <v>10969.57</v>
      </c>
      <c r="J7" s="112">
        <v>3729.84</v>
      </c>
      <c r="K7" s="113">
        <f t="shared" si="4"/>
        <v>0.65998302577038115</v>
      </c>
      <c r="L7" s="112">
        <v>1527.55</v>
      </c>
      <c r="M7" s="113">
        <f t="shared" si="5"/>
        <v>0.13925340738059924</v>
      </c>
      <c r="N7" s="112">
        <v>1146.47</v>
      </c>
      <c r="O7" s="112">
        <v>0</v>
      </c>
      <c r="P7" s="116">
        <v>1351</v>
      </c>
      <c r="Q7" s="126">
        <f t="shared" si="0"/>
        <v>0.12315888407658641</v>
      </c>
      <c r="R7" s="114">
        <f t="shared" si="1"/>
        <v>2378.84</v>
      </c>
      <c r="S7" s="126">
        <f t="shared" si="2"/>
        <v>0.21685809015303245</v>
      </c>
      <c r="T7" s="126">
        <f t="shared" si="3"/>
        <v>0.52072961838978193</v>
      </c>
      <c r="U7" s="99"/>
      <c r="V7" s="98"/>
      <c r="W7" s="98"/>
      <c r="X7" s="98"/>
      <c r="Y7" s="98"/>
    </row>
    <row r="8" spans="2:25" s="4" customFormat="1" ht="15.75" x14ac:dyDescent="0.25">
      <c r="B8" s="95">
        <f t="shared" si="6"/>
        <v>4</v>
      </c>
      <c r="C8" s="95" t="s">
        <v>98</v>
      </c>
      <c r="D8" s="95" t="s">
        <v>67</v>
      </c>
      <c r="E8" s="95" t="s">
        <v>99</v>
      </c>
      <c r="F8" s="96">
        <v>45311</v>
      </c>
      <c r="G8" s="95" t="s">
        <v>100</v>
      </c>
      <c r="H8" s="115" t="s">
        <v>15</v>
      </c>
      <c r="I8" s="112">
        <v>7305.51</v>
      </c>
      <c r="J8" s="112">
        <v>3401.37</v>
      </c>
      <c r="K8" s="113">
        <f t="shared" si="4"/>
        <v>0.53441032864235349</v>
      </c>
      <c r="L8" s="112">
        <v>1072</v>
      </c>
      <c r="M8" s="113">
        <f t="shared" si="5"/>
        <v>0.14673855760925658</v>
      </c>
      <c r="N8" s="112">
        <v>923.61</v>
      </c>
      <c r="O8" s="112">
        <v>0</v>
      </c>
      <c r="P8" s="116">
        <v>1141</v>
      </c>
      <c r="Q8" s="126">
        <f t="shared" si="0"/>
        <v>0.15618348342552402</v>
      </c>
      <c r="R8" s="114">
        <f t="shared" si="1"/>
        <v>2260.37</v>
      </c>
      <c r="S8" s="126">
        <f t="shared" si="2"/>
        <v>0.30940618793212243</v>
      </c>
      <c r="T8" s="126">
        <f t="shared" si="3"/>
        <v>0.38767177103309691</v>
      </c>
      <c r="U8" s="99"/>
      <c r="V8" s="98"/>
      <c r="W8" s="98"/>
      <c r="X8" s="98"/>
      <c r="Y8" s="98"/>
    </row>
    <row r="9" spans="2:25" s="4" customFormat="1" ht="15.75" x14ac:dyDescent="0.25">
      <c r="B9" s="95">
        <f t="shared" si="6"/>
        <v>5</v>
      </c>
      <c r="C9" s="95" t="s">
        <v>64</v>
      </c>
      <c r="D9" s="95" t="s">
        <v>62</v>
      </c>
      <c r="E9" s="95" t="s">
        <v>94</v>
      </c>
      <c r="F9" s="96">
        <v>45339</v>
      </c>
      <c r="G9" s="95" t="s">
        <v>101</v>
      </c>
      <c r="H9" s="95" t="s">
        <v>15</v>
      </c>
      <c r="I9" s="112">
        <v>10685.25</v>
      </c>
      <c r="J9" s="112">
        <v>4120.8599999999997</v>
      </c>
      <c r="K9" s="113">
        <f t="shared" si="4"/>
        <v>0.61434126482768303</v>
      </c>
      <c r="L9" s="112">
        <v>1112.3800000000001</v>
      </c>
      <c r="M9" s="113">
        <f t="shared" si="5"/>
        <v>0.10410425586673219</v>
      </c>
      <c r="N9" s="112">
        <v>179.65</v>
      </c>
      <c r="O9" s="112">
        <v>0</v>
      </c>
      <c r="P9" s="116">
        <f>1416+153.9</f>
        <v>1569.9</v>
      </c>
      <c r="Q9" s="126">
        <f t="shared" si="0"/>
        <v>0.14692215905102829</v>
      </c>
      <c r="R9" s="114">
        <f t="shared" si="1"/>
        <v>2550.9599999999996</v>
      </c>
      <c r="S9" s="126">
        <f t="shared" si="2"/>
        <v>0.23873657612128865</v>
      </c>
      <c r="T9" s="126">
        <f t="shared" si="3"/>
        <v>0.51023700896095081</v>
      </c>
      <c r="U9" s="99"/>
      <c r="V9" s="98"/>
      <c r="W9" s="98"/>
      <c r="X9" s="98"/>
      <c r="Y9" s="98"/>
    </row>
    <row r="10" spans="2:25" s="4" customFormat="1" ht="15.75" x14ac:dyDescent="0.25">
      <c r="B10" s="95">
        <f t="shared" si="6"/>
        <v>6</v>
      </c>
      <c r="C10" s="95" t="s">
        <v>64</v>
      </c>
      <c r="D10" s="95" t="s">
        <v>67</v>
      </c>
      <c r="E10" s="95" t="s">
        <v>94</v>
      </c>
      <c r="F10" s="96">
        <v>45329</v>
      </c>
      <c r="G10" s="95" t="s">
        <v>102</v>
      </c>
      <c r="H10" s="95" t="s">
        <v>15</v>
      </c>
      <c r="I10" s="112">
        <v>9058.2999999999993</v>
      </c>
      <c r="J10" s="112">
        <v>3468.01</v>
      </c>
      <c r="K10" s="113">
        <f t="shared" si="4"/>
        <v>0.61714560127176177</v>
      </c>
      <c r="L10" s="112">
        <v>1495.35</v>
      </c>
      <c r="M10" s="113">
        <f t="shared" si="5"/>
        <v>0.16508064427100008</v>
      </c>
      <c r="N10" s="112">
        <v>1543.8</v>
      </c>
      <c r="O10" s="112">
        <v>0</v>
      </c>
      <c r="P10" s="116">
        <v>1226</v>
      </c>
      <c r="Q10" s="126">
        <f t="shared" si="0"/>
        <v>0.13534548425201198</v>
      </c>
      <c r="R10" s="114">
        <f t="shared" si="1"/>
        <v>2242.0100000000002</v>
      </c>
      <c r="S10" s="126">
        <f t="shared" si="2"/>
        <v>0.24750891447622628</v>
      </c>
      <c r="T10" s="126">
        <f t="shared" si="3"/>
        <v>0.45206495700076166</v>
      </c>
      <c r="U10" s="99"/>
      <c r="V10" s="98"/>
      <c r="W10" s="98"/>
      <c r="X10" s="98"/>
      <c r="Y10" s="98"/>
    </row>
    <row r="11" spans="2:25" s="4" customFormat="1" ht="15.75" x14ac:dyDescent="0.25">
      <c r="B11" s="95">
        <f t="shared" si="6"/>
        <v>7</v>
      </c>
      <c r="C11" s="95" t="s">
        <v>64</v>
      </c>
      <c r="D11" s="95" t="s">
        <v>62</v>
      </c>
      <c r="E11" s="95" t="s">
        <v>103</v>
      </c>
      <c r="F11" s="96">
        <v>45324</v>
      </c>
      <c r="G11" s="95" t="s">
        <v>104</v>
      </c>
      <c r="H11" s="95" t="s">
        <v>15</v>
      </c>
      <c r="I11" s="112">
        <v>19512.2</v>
      </c>
      <c r="J11" s="112">
        <f>6583.25+1115.25</f>
        <v>7698.5</v>
      </c>
      <c r="K11" s="113">
        <f t="shared" si="4"/>
        <v>0.60545197363700665</v>
      </c>
      <c r="L11" s="112">
        <v>3101.9</v>
      </c>
      <c r="M11" s="113">
        <f t="shared" si="5"/>
        <v>0.15897233525691618</v>
      </c>
      <c r="N11" s="112">
        <v>2946.7</v>
      </c>
      <c r="O11" s="112">
        <v>0</v>
      </c>
      <c r="P11" s="116">
        <f>1255.25+115.25</f>
        <v>1370.5</v>
      </c>
      <c r="Q11" s="126">
        <f t="shared" si="0"/>
        <v>7.0238107440473138E-2</v>
      </c>
      <c r="R11" s="114">
        <f t="shared" si="1"/>
        <v>6328</v>
      </c>
      <c r="S11" s="126">
        <f t="shared" si="2"/>
        <v>0.32430991892252026</v>
      </c>
      <c r="T11" s="126">
        <f t="shared" si="3"/>
        <v>0.44647963838009047</v>
      </c>
      <c r="U11" s="99"/>
      <c r="V11" s="98"/>
      <c r="W11" s="98"/>
      <c r="X11" s="98"/>
      <c r="Y11" s="98"/>
    </row>
    <row r="12" spans="2:25" s="4" customFormat="1" ht="15.75" x14ac:dyDescent="0.25">
      <c r="B12" s="95">
        <f t="shared" si="6"/>
        <v>8</v>
      </c>
      <c r="C12" s="95" t="s">
        <v>66</v>
      </c>
      <c r="D12" s="95" t="s">
        <v>67</v>
      </c>
      <c r="E12" s="95" t="s">
        <v>105</v>
      </c>
      <c r="F12" s="96">
        <v>45344</v>
      </c>
      <c r="G12" s="95" t="s">
        <v>106</v>
      </c>
      <c r="H12" s="95" t="s">
        <v>15</v>
      </c>
      <c r="I12" s="112">
        <v>17110.41</v>
      </c>
      <c r="J12" s="112">
        <f>5154.4+2072</f>
        <v>7226.4</v>
      </c>
      <c r="K12" s="113">
        <f t="shared" si="4"/>
        <v>0.5776606171330787</v>
      </c>
      <c r="L12" s="112">
        <v>2143.21</v>
      </c>
      <c r="M12" s="113">
        <f t="shared" si="5"/>
        <v>0.12525766477834255</v>
      </c>
      <c r="N12" s="112">
        <v>1150.4100000000001</v>
      </c>
      <c r="O12" s="112">
        <v>0</v>
      </c>
      <c r="P12" s="116">
        <v>2072</v>
      </c>
      <c r="Q12" s="126">
        <f t="shared" si="0"/>
        <v>0.12109587087626772</v>
      </c>
      <c r="R12" s="114">
        <f t="shared" si="1"/>
        <v>5154.3999999999996</v>
      </c>
      <c r="S12" s="126">
        <f t="shared" si="2"/>
        <v>0.30124351199065363</v>
      </c>
      <c r="T12" s="126">
        <f t="shared" si="3"/>
        <v>0.45240295235473615</v>
      </c>
      <c r="U12" s="99"/>
      <c r="V12" s="98"/>
      <c r="W12" s="98"/>
      <c r="X12" s="98"/>
      <c r="Y12" s="98"/>
    </row>
    <row r="13" spans="2:25" s="4" customFormat="1" ht="15.75" x14ac:dyDescent="0.25">
      <c r="B13" s="95">
        <f t="shared" si="6"/>
        <v>9</v>
      </c>
      <c r="C13" s="95" t="s">
        <v>64</v>
      </c>
      <c r="D13" s="95" t="s">
        <v>79</v>
      </c>
      <c r="E13" s="95" t="s">
        <v>60</v>
      </c>
      <c r="F13" s="96">
        <v>45320</v>
      </c>
      <c r="G13" s="95" t="s">
        <v>107</v>
      </c>
      <c r="H13" s="95" t="s">
        <v>24</v>
      </c>
      <c r="I13" s="112">
        <v>8826.9500000000007</v>
      </c>
      <c r="J13" s="112">
        <v>4277.58</v>
      </c>
      <c r="K13" s="113">
        <f t="shared" si="4"/>
        <v>0.51539546502472544</v>
      </c>
      <c r="L13" s="112">
        <v>1049.97</v>
      </c>
      <c r="M13" s="113">
        <f t="shared" si="5"/>
        <v>0.11895048686126011</v>
      </c>
      <c r="N13" s="112">
        <v>629.95000000000005</v>
      </c>
      <c r="O13" s="112">
        <v>0</v>
      </c>
      <c r="P13" s="116">
        <v>1035</v>
      </c>
      <c r="Q13" s="126">
        <f t="shared" si="0"/>
        <v>0.11725454432165129</v>
      </c>
      <c r="R13" s="114">
        <f t="shared" si="1"/>
        <v>3242.58</v>
      </c>
      <c r="S13" s="126">
        <f t="shared" si="2"/>
        <v>0.36734999065362323</v>
      </c>
      <c r="T13" s="126">
        <f t="shared" si="3"/>
        <v>0.39644497816346536</v>
      </c>
      <c r="U13" s="99"/>
      <c r="V13" s="98"/>
      <c r="W13" s="98"/>
      <c r="X13" s="98"/>
      <c r="Y13" s="98"/>
    </row>
    <row r="14" spans="2:25" s="4" customFormat="1" ht="15.75" x14ac:dyDescent="0.25">
      <c r="B14" s="95">
        <f t="shared" si="6"/>
        <v>10</v>
      </c>
      <c r="C14" s="95" t="s">
        <v>108</v>
      </c>
      <c r="D14" s="95" t="s">
        <v>67</v>
      </c>
      <c r="E14" s="95" t="s">
        <v>94</v>
      </c>
      <c r="F14" s="96">
        <v>45306</v>
      </c>
      <c r="G14" s="95" t="s">
        <v>109</v>
      </c>
      <c r="H14" s="95" t="s">
        <v>15</v>
      </c>
      <c r="I14" s="112">
        <v>9590.61</v>
      </c>
      <c r="J14" s="112">
        <f>5534.99</f>
        <v>5534.99</v>
      </c>
      <c r="K14" s="113">
        <f t="shared" si="4"/>
        <v>0.42287404033737169</v>
      </c>
      <c r="L14" s="112">
        <v>1314.07</v>
      </c>
      <c r="M14" s="113">
        <f t="shared" si="5"/>
        <v>0.13701631074561471</v>
      </c>
      <c r="N14" s="112">
        <v>1006.51</v>
      </c>
      <c r="O14" s="112">
        <v>0</v>
      </c>
      <c r="P14" s="116">
        <f>1865.25+425.67</f>
        <v>2290.92</v>
      </c>
      <c r="Q14" s="126">
        <f t="shared" si="0"/>
        <v>0.23887114583952429</v>
      </c>
      <c r="R14" s="114">
        <f t="shared" si="1"/>
        <v>3244.0699999999997</v>
      </c>
      <c r="S14" s="126">
        <f t="shared" si="2"/>
        <v>0.33825481382310402</v>
      </c>
      <c r="T14" s="126">
        <f t="shared" si="3"/>
        <v>0.28585772959175698</v>
      </c>
      <c r="U14" s="99"/>
      <c r="V14" s="98"/>
      <c r="W14" s="98"/>
      <c r="X14" s="98"/>
      <c r="Y14" s="98"/>
    </row>
    <row r="15" spans="2:25" s="4" customFormat="1" ht="15.75" x14ac:dyDescent="0.25">
      <c r="B15" s="95">
        <f t="shared" si="6"/>
        <v>11</v>
      </c>
      <c r="C15" s="95" t="s">
        <v>71</v>
      </c>
      <c r="D15" s="95" t="s">
        <v>61</v>
      </c>
      <c r="E15" s="95" t="s">
        <v>94</v>
      </c>
      <c r="F15" s="96">
        <v>45317</v>
      </c>
      <c r="G15" s="95" t="s">
        <v>110</v>
      </c>
      <c r="H15" s="95" t="s">
        <v>138</v>
      </c>
      <c r="I15" s="112">
        <v>20028.8</v>
      </c>
      <c r="J15" s="112">
        <v>8797.2099999999991</v>
      </c>
      <c r="K15" s="113">
        <f t="shared" si="4"/>
        <v>0.56077198833679509</v>
      </c>
      <c r="L15" s="112">
        <v>2529.86</v>
      </c>
      <c r="M15" s="113">
        <f t="shared" si="5"/>
        <v>0.12631111199872186</v>
      </c>
      <c r="N15" s="112">
        <v>1560.7</v>
      </c>
      <c r="O15" s="112">
        <v>0</v>
      </c>
      <c r="P15" s="116">
        <v>3836.5</v>
      </c>
      <c r="Q15" s="126">
        <f t="shared" si="0"/>
        <v>0.19154916919635726</v>
      </c>
      <c r="R15" s="114">
        <f t="shared" si="1"/>
        <v>4960.7099999999991</v>
      </c>
      <c r="S15" s="126">
        <f t="shared" si="2"/>
        <v>0.24767884246684771</v>
      </c>
      <c r="T15" s="126">
        <f t="shared" si="3"/>
        <v>0.43446087633807323</v>
      </c>
      <c r="U15" s="99"/>
      <c r="V15" s="98"/>
      <c r="W15" s="98"/>
      <c r="X15" s="98"/>
      <c r="Y15" s="98"/>
    </row>
    <row r="16" spans="2:25" s="4" customFormat="1" ht="15.75" x14ac:dyDescent="0.25">
      <c r="B16" s="95">
        <f t="shared" si="6"/>
        <v>12</v>
      </c>
      <c r="C16" s="95" t="s">
        <v>64</v>
      </c>
      <c r="D16" s="95" t="s">
        <v>79</v>
      </c>
      <c r="E16" s="95" t="s">
        <v>60</v>
      </c>
      <c r="F16" s="96">
        <v>45294</v>
      </c>
      <c r="G16" s="95" t="s">
        <v>111</v>
      </c>
      <c r="H16" s="95" t="s">
        <v>18</v>
      </c>
      <c r="I16" s="112">
        <v>28509.06</v>
      </c>
      <c r="J16" s="112">
        <v>6702.16</v>
      </c>
      <c r="K16" s="113">
        <f t="shared" si="4"/>
        <v>0.76491122471242479</v>
      </c>
      <c r="L16" s="112">
        <v>4631.63</v>
      </c>
      <c r="M16" s="113">
        <f t="shared" si="5"/>
        <v>0.16246168761790111</v>
      </c>
      <c r="N16" s="112">
        <v>2315.81</v>
      </c>
      <c r="O16" s="112">
        <v>0</v>
      </c>
      <c r="P16" s="116">
        <v>200</v>
      </c>
      <c r="Q16" s="126">
        <f t="shared" si="0"/>
        <v>7.0153137283375877E-3</v>
      </c>
      <c r="R16" s="114">
        <f t="shared" si="1"/>
        <v>6502.16</v>
      </c>
      <c r="S16" s="126">
        <f t="shared" si="2"/>
        <v>0.22807346155923763</v>
      </c>
      <c r="T16" s="126">
        <f t="shared" si="3"/>
        <v>0.60244953709452365</v>
      </c>
      <c r="U16" s="99"/>
      <c r="V16" s="98"/>
      <c r="W16" s="98"/>
      <c r="X16" s="98"/>
      <c r="Y16" s="98"/>
    </row>
    <row r="17" spans="2:25" s="4" customFormat="1" ht="15.75" x14ac:dyDescent="0.25">
      <c r="B17" s="95">
        <f t="shared" si="6"/>
        <v>13</v>
      </c>
      <c r="C17" s="95" t="s">
        <v>69</v>
      </c>
      <c r="D17" s="95" t="s">
        <v>61</v>
      </c>
      <c r="E17" s="95" t="s">
        <v>112</v>
      </c>
      <c r="F17" s="96">
        <v>45339</v>
      </c>
      <c r="G17" s="95" t="s">
        <v>113</v>
      </c>
      <c r="H17" s="95" t="s">
        <v>15</v>
      </c>
      <c r="I17" s="112">
        <v>8989.0400000000009</v>
      </c>
      <c r="J17" s="112">
        <v>4351.17</v>
      </c>
      <c r="K17" s="113">
        <f t="shared" si="4"/>
        <v>0.51594719792102384</v>
      </c>
      <c r="L17" s="112">
        <v>1030.3599999999999</v>
      </c>
      <c r="M17" s="113">
        <f t="shared" si="5"/>
        <v>0.11462403104224698</v>
      </c>
      <c r="N17" s="112">
        <v>398.64</v>
      </c>
      <c r="O17" s="112">
        <v>0</v>
      </c>
      <c r="P17" s="116">
        <v>1357</v>
      </c>
      <c r="Q17" s="126">
        <f t="shared" si="0"/>
        <v>0.15096161547840481</v>
      </c>
      <c r="R17" s="114">
        <f t="shared" si="1"/>
        <v>2994.17</v>
      </c>
      <c r="S17" s="126">
        <f t="shared" si="2"/>
        <v>0.33309118660057135</v>
      </c>
      <c r="T17" s="126">
        <f t="shared" si="3"/>
        <v>0.40132316687877684</v>
      </c>
      <c r="U17" s="99"/>
      <c r="V17" s="98"/>
      <c r="W17" s="98"/>
      <c r="X17" s="98"/>
      <c r="Y17" s="98"/>
    </row>
    <row r="18" spans="2:25" s="4" customFormat="1" ht="15.75" x14ac:dyDescent="0.25">
      <c r="B18" s="95">
        <f t="shared" si="6"/>
        <v>14</v>
      </c>
      <c r="C18" s="95" t="s">
        <v>66</v>
      </c>
      <c r="D18" s="95" t="s">
        <v>62</v>
      </c>
      <c r="E18" s="95" t="s">
        <v>114</v>
      </c>
      <c r="F18" s="96">
        <v>45331</v>
      </c>
      <c r="G18" s="95" t="s">
        <v>115</v>
      </c>
      <c r="H18" s="95" t="s">
        <v>15</v>
      </c>
      <c r="I18" s="112">
        <v>12615.1</v>
      </c>
      <c r="J18" s="112">
        <v>5743.17</v>
      </c>
      <c r="K18" s="113">
        <f t="shared" si="4"/>
        <v>0.54473844836743268</v>
      </c>
      <c r="L18" s="112">
        <v>1139.5899999999999</v>
      </c>
      <c r="M18" s="113">
        <f t="shared" si="5"/>
        <v>9.0335391713105714E-2</v>
      </c>
      <c r="N18" s="112">
        <v>-234.8</v>
      </c>
      <c r="O18" s="112">
        <v>0</v>
      </c>
      <c r="P18" s="116">
        <f>1500+850</f>
        <v>2350</v>
      </c>
      <c r="Q18" s="126">
        <f t="shared" si="0"/>
        <v>0.18628469056923844</v>
      </c>
      <c r="R18" s="114">
        <f t="shared" si="1"/>
        <v>3393.17</v>
      </c>
      <c r="S18" s="126">
        <f t="shared" si="2"/>
        <v>0.26897686106332885</v>
      </c>
      <c r="T18" s="126">
        <f t="shared" si="3"/>
        <v>0.45440305665432695</v>
      </c>
      <c r="U18" s="99"/>
      <c r="V18" s="98"/>
      <c r="W18" s="98"/>
      <c r="X18" s="98"/>
      <c r="Y18" s="98"/>
    </row>
    <row r="19" spans="2:25" s="4" customFormat="1" ht="15.75" x14ac:dyDescent="0.25">
      <c r="B19" s="95">
        <f t="shared" si="6"/>
        <v>15</v>
      </c>
      <c r="C19" s="95" t="s">
        <v>64</v>
      </c>
      <c r="D19" s="95" t="s">
        <v>61</v>
      </c>
      <c r="E19" s="95" t="s">
        <v>112</v>
      </c>
      <c r="F19" s="96">
        <v>45342</v>
      </c>
      <c r="G19" s="95" t="s">
        <v>116</v>
      </c>
      <c r="H19" s="95" t="s">
        <v>15</v>
      </c>
      <c r="I19" s="112">
        <v>9751.4500000000007</v>
      </c>
      <c r="J19" s="112">
        <v>4079.25</v>
      </c>
      <c r="K19" s="113">
        <f t="shared" si="4"/>
        <v>0.58167759666511132</v>
      </c>
      <c r="L19" s="112">
        <v>756</v>
      </c>
      <c r="M19" s="113">
        <f t="shared" si="5"/>
        <v>7.7526931892180129E-2</v>
      </c>
      <c r="N19" s="112">
        <v>-476.25</v>
      </c>
      <c r="O19" s="112">
        <v>0</v>
      </c>
      <c r="P19" s="116">
        <v>1490</v>
      </c>
      <c r="Q19" s="126">
        <f t="shared" si="0"/>
        <v>0.15279778904675714</v>
      </c>
      <c r="R19" s="114">
        <f t="shared" si="1"/>
        <v>2589.25</v>
      </c>
      <c r="S19" s="126">
        <f t="shared" si="2"/>
        <v>0.26552461428813151</v>
      </c>
      <c r="T19" s="126">
        <f t="shared" si="3"/>
        <v>0.50415066477293125</v>
      </c>
      <c r="U19" s="99"/>
      <c r="V19" s="98"/>
      <c r="W19" s="98"/>
      <c r="X19" s="98"/>
      <c r="Y19" s="98"/>
    </row>
    <row r="20" spans="2:25" s="4" customFormat="1" ht="15.75" x14ac:dyDescent="0.25">
      <c r="B20" s="95">
        <f t="shared" si="6"/>
        <v>16</v>
      </c>
      <c r="C20" s="95" t="s">
        <v>64</v>
      </c>
      <c r="D20" s="95" t="s">
        <v>67</v>
      </c>
      <c r="E20" s="95" t="s">
        <v>99</v>
      </c>
      <c r="F20" s="96">
        <v>45359</v>
      </c>
      <c r="G20" s="95" t="s">
        <v>117</v>
      </c>
      <c r="H20" s="95" t="s">
        <v>15</v>
      </c>
      <c r="I20" s="112">
        <v>13360.28</v>
      </c>
      <c r="J20" s="112">
        <v>5619.49</v>
      </c>
      <c r="K20" s="113">
        <f t="shared" si="4"/>
        <v>0.57938830623310289</v>
      </c>
      <c r="L20" s="112">
        <v>1649.1</v>
      </c>
      <c r="M20" s="113">
        <f t="shared" si="5"/>
        <v>0.12343304182247676</v>
      </c>
      <c r="N20" s="112">
        <v>852.68</v>
      </c>
      <c r="O20" s="112">
        <v>0</v>
      </c>
      <c r="P20" s="116">
        <v>1761</v>
      </c>
      <c r="Q20" s="126">
        <f t="shared" si="0"/>
        <v>0.13180861478951039</v>
      </c>
      <c r="R20" s="114">
        <f t="shared" si="1"/>
        <v>3858.49</v>
      </c>
      <c r="S20" s="126">
        <f t="shared" si="2"/>
        <v>0.28880307897738666</v>
      </c>
      <c r="T20" s="126">
        <f t="shared" si="3"/>
        <v>0.45595526441062612</v>
      </c>
      <c r="U20" s="99"/>
      <c r="V20" s="98"/>
      <c r="W20" s="98"/>
      <c r="X20" s="98"/>
      <c r="Y20" s="98"/>
    </row>
    <row r="21" spans="2:25" s="4" customFormat="1" ht="15.75" x14ac:dyDescent="0.25">
      <c r="B21" s="95">
        <f t="shared" si="6"/>
        <v>17</v>
      </c>
      <c r="C21" s="95" t="s">
        <v>64</v>
      </c>
      <c r="D21" s="95" t="s">
        <v>79</v>
      </c>
      <c r="E21" s="95" t="s">
        <v>60</v>
      </c>
      <c r="F21" s="96">
        <v>45296</v>
      </c>
      <c r="G21" s="95" t="s">
        <v>118</v>
      </c>
      <c r="H21" s="95" t="s">
        <v>29</v>
      </c>
      <c r="I21" s="112">
        <v>56285.82</v>
      </c>
      <c r="J21" s="112">
        <v>22643.1</v>
      </c>
      <c r="K21" s="113">
        <f t="shared" si="4"/>
        <v>0.59771217688575917</v>
      </c>
      <c r="L21" s="112">
        <v>5347.97</v>
      </c>
      <c r="M21" s="113">
        <f t="shared" si="5"/>
        <v>9.5014516977810756E-2</v>
      </c>
      <c r="N21" s="112">
        <v>-1.53</v>
      </c>
      <c r="O21" s="112">
        <v>0</v>
      </c>
      <c r="P21" s="116">
        <f>2186+1275+200</f>
        <v>3661</v>
      </c>
      <c r="Q21" s="126">
        <f t="shared" si="0"/>
        <v>6.504302504609509E-2</v>
      </c>
      <c r="R21" s="114">
        <f t="shared" si="1"/>
        <v>18982.099999999999</v>
      </c>
      <c r="S21" s="126">
        <f t="shared" si="2"/>
        <v>0.33724479806814572</v>
      </c>
      <c r="T21" s="126">
        <f t="shared" si="3"/>
        <v>0.50269765990794846</v>
      </c>
      <c r="U21" s="99"/>
      <c r="V21" s="98"/>
      <c r="W21" s="98"/>
      <c r="X21" s="98"/>
      <c r="Y21" s="98"/>
    </row>
    <row r="22" spans="2:25" s="4" customFormat="1" ht="15.75" x14ac:dyDescent="0.25">
      <c r="B22" s="95">
        <f t="shared" si="6"/>
        <v>18</v>
      </c>
      <c r="C22" s="95" t="s">
        <v>66</v>
      </c>
      <c r="D22" s="95" t="s">
        <v>61</v>
      </c>
      <c r="E22" s="95" t="s">
        <v>114</v>
      </c>
      <c r="F22" s="96">
        <v>45354</v>
      </c>
      <c r="G22" s="95" t="s">
        <v>119</v>
      </c>
      <c r="H22" s="95" t="s">
        <v>138</v>
      </c>
      <c r="I22" s="112">
        <v>23729.11</v>
      </c>
      <c r="J22" s="112">
        <v>8535.7099999999991</v>
      </c>
      <c r="K22" s="113">
        <f t="shared" si="4"/>
        <v>0.64028528672166807</v>
      </c>
      <c r="L22" s="112">
        <v>2731.47</v>
      </c>
      <c r="M22" s="113">
        <f t="shared" si="5"/>
        <v>0.11511051194081867</v>
      </c>
      <c r="N22" s="112">
        <v>966.4</v>
      </c>
      <c r="O22" s="112">
        <v>0</v>
      </c>
      <c r="P22" s="116">
        <v>2285</v>
      </c>
      <c r="Q22" s="126">
        <f t="shared" si="0"/>
        <v>9.6295225568931997E-2</v>
      </c>
      <c r="R22" s="114">
        <f t="shared" si="1"/>
        <v>6250.7099999999991</v>
      </c>
      <c r="S22" s="126">
        <f t="shared" si="2"/>
        <v>0.26341948770939994</v>
      </c>
      <c r="T22" s="126">
        <f t="shared" si="3"/>
        <v>0.5251747747808494</v>
      </c>
      <c r="U22" s="99"/>
      <c r="V22" s="98"/>
      <c r="W22" s="98"/>
      <c r="X22" s="98"/>
      <c r="Y22" s="98"/>
    </row>
    <row r="23" spans="2:25" s="4" customFormat="1" ht="15.75" x14ac:dyDescent="0.25">
      <c r="B23" s="95">
        <f t="shared" si="6"/>
        <v>19</v>
      </c>
      <c r="C23" s="95" t="s">
        <v>64</v>
      </c>
      <c r="D23" s="95" t="s">
        <v>67</v>
      </c>
      <c r="E23" s="95" t="s">
        <v>112</v>
      </c>
      <c r="F23" s="96">
        <v>45367</v>
      </c>
      <c r="G23" s="95" t="s">
        <v>120</v>
      </c>
      <c r="H23" s="95" t="s">
        <v>15</v>
      </c>
      <c r="I23" s="112">
        <v>7790.94</v>
      </c>
      <c r="J23" s="112">
        <v>3694.49</v>
      </c>
      <c r="K23" s="113">
        <f t="shared" si="4"/>
        <v>0.52579663044510672</v>
      </c>
      <c r="L23" s="112">
        <v>364.39</v>
      </c>
      <c r="M23" s="113">
        <f t="shared" si="5"/>
        <v>4.6770992973890188E-2</v>
      </c>
      <c r="N23" s="112">
        <v>-966.76</v>
      </c>
      <c r="O23" s="112">
        <v>0</v>
      </c>
      <c r="P23" s="116">
        <v>1436</v>
      </c>
      <c r="Q23" s="126">
        <f t="shared" si="0"/>
        <v>0.18431665498643296</v>
      </c>
      <c r="R23" s="114">
        <f t="shared" si="1"/>
        <v>2258.4899999999998</v>
      </c>
      <c r="S23" s="126">
        <f t="shared" si="2"/>
        <v>0.28988671456846027</v>
      </c>
      <c r="T23" s="126">
        <f t="shared" si="3"/>
        <v>0.47902563747121651</v>
      </c>
      <c r="U23" s="99"/>
      <c r="V23" s="98"/>
      <c r="W23" s="98"/>
      <c r="X23" s="98"/>
      <c r="Y23" s="98"/>
    </row>
    <row r="24" spans="2:25" s="4" customFormat="1" ht="15.75" x14ac:dyDescent="0.25">
      <c r="B24" s="95">
        <f t="shared" si="6"/>
        <v>20</v>
      </c>
      <c r="C24" s="95" t="s">
        <v>64</v>
      </c>
      <c r="D24" s="95" t="s">
        <v>79</v>
      </c>
      <c r="E24" s="95" t="s">
        <v>60</v>
      </c>
      <c r="F24" s="96">
        <v>45345</v>
      </c>
      <c r="G24" s="95" t="s">
        <v>121</v>
      </c>
      <c r="H24" s="95" t="s">
        <v>122</v>
      </c>
      <c r="I24" s="112">
        <v>10874.39</v>
      </c>
      <c r="J24" s="112">
        <v>5399.32</v>
      </c>
      <c r="K24" s="113">
        <f t="shared" si="4"/>
        <v>0.50348295398638454</v>
      </c>
      <c r="L24" s="112">
        <v>1046.79</v>
      </c>
      <c r="M24" s="113">
        <f t="shared" si="5"/>
        <v>9.6261951245081329E-2</v>
      </c>
      <c r="N24" s="112">
        <v>598.39</v>
      </c>
      <c r="O24" s="112">
        <v>0</v>
      </c>
      <c r="P24" s="116">
        <f>250+1250+360</f>
        <v>1860</v>
      </c>
      <c r="Q24" s="126">
        <f t="shared" si="0"/>
        <v>0.17104407695512117</v>
      </c>
      <c r="R24" s="114">
        <f t="shared" si="1"/>
        <v>3539.3199999999997</v>
      </c>
      <c r="S24" s="126">
        <f t="shared" si="2"/>
        <v>0.32547296905849432</v>
      </c>
      <c r="T24" s="126">
        <f t="shared" si="3"/>
        <v>0.40722100274130324</v>
      </c>
      <c r="U24" s="99"/>
      <c r="V24" s="98"/>
      <c r="W24" s="98"/>
      <c r="X24" s="98"/>
      <c r="Y24" s="98"/>
    </row>
    <row r="25" spans="2:25" s="4" customFormat="1" ht="15.75" x14ac:dyDescent="0.25">
      <c r="B25" s="95">
        <f t="shared" si="6"/>
        <v>21</v>
      </c>
      <c r="C25" s="95" t="s">
        <v>64</v>
      </c>
      <c r="D25" s="95" t="s">
        <v>79</v>
      </c>
      <c r="E25" s="95" t="s">
        <v>60</v>
      </c>
      <c r="F25" s="96">
        <v>45359</v>
      </c>
      <c r="G25" s="95" t="s">
        <v>123</v>
      </c>
      <c r="H25" s="95" t="s">
        <v>53</v>
      </c>
      <c r="I25" s="112">
        <v>7720.87</v>
      </c>
      <c r="J25" s="112">
        <v>3313.9</v>
      </c>
      <c r="K25" s="113">
        <f t="shared" si="4"/>
        <v>0.57078671186019181</v>
      </c>
      <c r="L25" s="112">
        <v>904.33</v>
      </c>
      <c r="M25" s="113">
        <f t="shared" si="5"/>
        <v>0.11712799205270909</v>
      </c>
      <c r="N25" s="112">
        <v>675.35</v>
      </c>
      <c r="O25" s="112">
        <v>0</v>
      </c>
      <c r="P25" s="116">
        <v>685</v>
      </c>
      <c r="Q25" s="126">
        <f t="shared" si="0"/>
        <v>8.8720571645423379E-2</v>
      </c>
      <c r="R25" s="114">
        <f t="shared" si="1"/>
        <v>2628.9</v>
      </c>
      <c r="S25" s="126">
        <f t="shared" si="2"/>
        <v>0.34049271649438473</v>
      </c>
      <c r="T25" s="126">
        <f t="shared" si="3"/>
        <v>0.45365871980748274</v>
      </c>
      <c r="U25" s="99"/>
      <c r="V25" s="98"/>
      <c r="W25" s="98"/>
      <c r="X25" s="98"/>
      <c r="Y25" s="98"/>
    </row>
    <row r="26" spans="2:25" s="4" customFormat="1" ht="15.75" x14ac:dyDescent="0.25">
      <c r="B26" s="95">
        <f t="shared" si="6"/>
        <v>22</v>
      </c>
      <c r="C26" s="95" t="s">
        <v>124</v>
      </c>
      <c r="D26" s="95" t="s">
        <v>67</v>
      </c>
      <c r="E26" s="95" t="s">
        <v>105</v>
      </c>
      <c r="F26" s="96">
        <v>45355</v>
      </c>
      <c r="G26" s="95" t="s">
        <v>125</v>
      </c>
      <c r="H26" s="95" t="s">
        <v>15</v>
      </c>
      <c r="I26" s="112">
        <v>13061.09</v>
      </c>
      <c r="J26" s="112">
        <v>4432.93</v>
      </c>
      <c r="K26" s="113">
        <f t="shared" si="4"/>
        <v>0.66060030211873588</v>
      </c>
      <c r="L26" s="112">
        <v>1525.86</v>
      </c>
      <c r="M26" s="113">
        <f t="shared" si="5"/>
        <v>0.11682485918097187</v>
      </c>
      <c r="N26" s="112">
        <v>754.04</v>
      </c>
      <c r="O26" s="112">
        <v>0</v>
      </c>
      <c r="P26" s="116">
        <v>1554.5</v>
      </c>
      <c r="Q26" s="126">
        <f t="shared" si="0"/>
        <v>0.11901763175967703</v>
      </c>
      <c r="R26" s="114">
        <f t="shared" si="1"/>
        <v>2878.4300000000003</v>
      </c>
      <c r="S26" s="126">
        <f t="shared" si="2"/>
        <v>0.22038206612158712</v>
      </c>
      <c r="T26" s="126">
        <f t="shared" si="3"/>
        <v>0.54377544293776403</v>
      </c>
      <c r="U26" s="99"/>
      <c r="V26" s="98"/>
      <c r="W26" s="98"/>
      <c r="X26" s="98"/>
      <c r="Y26" s="98"/>
    </row>
    <row r="27" spans="2:25" s="4" customFormat="1" ht="15.75" x14ac:dyDescent="0.25">
      <c r="B27" s="95">
        <f t="shared" si="6"/>
        <v>23</v>
      </c>
      <c r="C27" s="95" t="s">
        <v>64</v>
      </c>
      <c r="D27" s="95" t="s">
        <v>62</v>
      </c>
      <c r="E27" s="95" t="s">
        <v>105</v>
      </c>
      <c r="F27" s="96">
        <v>45323</v>
      </c>
      <c r="G27" s="95" t="s">
        <v>126</v>
      </c>
      <c r="H27" s="95" t="s">
        <v>16</v>
      </c>
      <c r="I27" s="112">
        <v>46448.32</v>
      </c>
      <c r="J27" s="112">
        <v>16276.88</v>
      </c>
      <c r="K27" s="113">
        <f t="shared" si="4"/>
        <v>0.64957010285840266</v>
      </c>
      <c r="L27" s="112">
        <v>7296.08</v>
      </c>
      <c r="M27" s="113">
        <f t="shared" si="5"/>
        <v>0.15707952408181824</v>
      </c>
      <c r="N27" s="112">
        <v>6750.62</v>
      </c>
      <c r="O27" s="112">
        <v>0</v>
      </c>
      <c r="P27" s="116">
        <f>2000+1353</f>
        <v>3353</v>
      </c>
      <c r="Q27" s="126">
        <f t="shared" si="0"/>
        <v>7.2187756198717201E-2</v>
      </c>
      <c r="R27" s="114">
        <f t="shared" si="1"/>
        <v>12923.88</v>
      </c>
      <c r="S27" s="126">
        <f t="shared" si="2"/>
        <v>0.27824214094288013</v>
      </c>
      <c r="T27" s="126">
        <f t="shared" si="3"/>
        <v>0.49249057877658442</v>
      </c>
      <c r="U27" s="99"/>
      <c r="V27" s="98"/>
      <c r="W27" s="98"/>
      <c r="X27" s="98"/>
      <c r="Y27" s="98"/>
    </row>
    <row r="28" spans="2:25" s="4" customFormat="1" ht="15.75" x14ac:dyDescent="0.25">
      <c r="B28" s="95">
        <f t="shared" si="6"/>
        <v>24</v>
      </c>
      <c r="C28" s="95" t="s">
        <v>64</v>
      </c>
      <c r="D28" s="95" t="s">
        <v>67</v>
      </c>
      <c r="E28" s="95" t="s">
        <v>112</v>
      </c>
      <c r="F28" s="96">
        <v>45366</v>
      </c>
      <c r="G28" s="95" t="s">
        <v>127</v>
      </c>
      <c r="H28" s="95" t="s">
        <v>138</v>
      </c>
      <c r="I28" s="112">
        <v>24325.200000000001</v>
      </c>
      <c r="J28" s="112">
        <v>8878.43</v>
      </c>
      <c r="K28" s="113">
        <f t="shared" si="4"/>
        <v>0.63501101738115207</v>
      </c>
      <c r="L28" s="112">
        <v>3115.52</v>
      </c>
      <c r="M28" s="113">
        <f t="shared" si="5"/>
        <v>0.12807787808527782</v>
      </c>
      <c r="N28" s="112">
        <v>1777.5</v>
      </c>
      <c r="O28" s="112">
        <v>0</v>
      </c>
      <c r="P28" s="116">
        <f>1500+1506+176</f>
        <v>3182</v>
      </c>
      <c r="Q28" s="126">
        <f t="shared" si="0"/>
        <v>0.13081084636508641</v>
      </c>
      <c r="R28" s="114">
        <f t="shared" si="1"/>
        <v>5696.43</v>
      </c>
      <c r="S28" s="126">
        <f t="shared" si="2"/>
        <v>0.23417813625376155</v>
      </c>
      <c r="T28" s="126">
        <f t="shared" si="3"/>
        <v>0.50693313929587425</v>
      </c>
      <c r="U28" s="99"/>
      <c r="V28" s="98"/>
      <c r="W28" s="98"/>
      <c r="X28" s="98"/>
      <c r="Y28" s="98"/>
    </row>
    <row r="29" spans="2:25" s="4" customFormat="1" ht="15.75" x14ac:dyDescent="0.25">
      <c r="B29" s="95">
        <f t="shared" si="6"/>
        <v>25</v>
      </c>
      <c r="C29" s="95" t="s">
        <v>64</v>
      </c>
      <c r="D29" s="95" t="s">
        <v>67</v>
      </c>
      <c r="E29" s="95" t="s">
        <v>99</v>
      </c>
      <c r="F29" s="96">
        <v>45371</v>
      </c>
      <c r="G29" s="95" t="s">
        <v>128</v>
      </c>
      <c r="H29" s="95" t="s">
        <v>15</v>
      </c>
      <c r="I29" s="112">
        <v>9534.0300000000007</v>
      </c>
      <c r="J29" s="112">
        <v>4019.38</v>
      </c>
      <c r="K29" s="113">
        <f t="shared" si="4"/>
        <v>0.57841752123708445</v>
      </c>
      <c r="L29" s="112">
        <v>1290.26</v>
      </c>
      <c r="M29" s="113">
        <f t="shared" si="5"/>
        <v>0.13533206839080639</v>
      </c>
      <c r="N29" s="112">
        <v>912.13</v>
      </c>
      <c r="O29" s="112">
        <v>0</v>
      </c>
      <c r="P29" s="116">
        <v>1166</v>
      </c>
      <c r="Q29" s="126">
        <f t="shared" si="0"/>
        <v>0.12229875509097411</v>
      </c>
      <c r="R29" s="114">
        <f t="shared" si="1"/>
        <v>2853.38</v>
      </c>
      <c r="S29" s="126">
        <f t="shared" si="2"/>
        <v>0.29928372367194145</v>
      </c>
      <c r="T29" s="126">
        <f t="shared" si="3"/>
        <v>0.44308545284627809</v>
      </c>
      <c r="U29" s="99"/>
      <c r="V29" s="98"/>
      <c r="W29" s="98"/>
      <c r="X29" s="98"/>
      <c r="Y29" s="98"/>
    </row>
    <row r="30" spans="2:25" s="4" customFormat="1" ht="15.75" x14ac:dyDescent="0.25">
      <c r="B30" s="95">
        <f t="shared" si="6"/>
        <v>26</v>
      </c>
      <c r="C30" s="95" t="s">
        <v>64</v>
      </c>
      <c r="D30" s="95" t="s">
        <v>79</v>
      </c>
      <c r="E30" s="95" t="s">
        <v>60</v>
      </c>
      <c r="F30" s="96">
        <v>45395</v>
      </c>
      <c r="G30" s="95" t="s">
        <v>129</v>
      </c>
      <c r="H30" s="95" t="s">
        <v>24</v>
      </c>
      <c r="I30" s="112">
        <v>12756.5</v>
      </c>
      <c r="J30" s="112">
        <v>6234.33</v>
      </c>
      <c r="K30" s="113">
        <f t="shared" si="4"/>
        <v>0.51128209148277348</v>
      </c>
      <c r="L30" s="112">
        <v>1851.21</v>
      </c>
      <c r="M30" s="113">
        <f t="shared" si="5"/>
        <v>0.14511895896209775</v>
      </c>
      <c r="N30" s="112">
        <v>1753.9</v>
      </c>
      <c r="O30" s="112">
        <v>0</v>
      </c>
      <c r="P30" s="116">
        <f>1974</f>
        <v>1974</v>
      </c>
      <c r="Q30" s="126">
        <f t="shared" si="0"/>
        <v>0.15474463998745738</v>
      </c>
      <c r="R30" s="114">
        <f t="shared" si="1"/>
        <v>4260.33</v>
      </c>
      <c r="S30" s="126">
        <f t="shared" si="2"/>
        <v>0.33397326852976911</v>
      </c>
      <c r="T30" s="126">
        <f t="shared" si="3"/>
        <v>0.36616313252067573</v>
      </c>
      <c r="U30" s="99"/>
      <c r="V30" s="98"/>
      <c r="W30" s="98"/>
      <c r="X30" s="98"/>
      <c r="Y30" s="98"/>
    </row>
    <row r="31" spans="2:25" s="4" customFormat="1" ht="15.75" x14ac:dyDescent="0.25">
      <c r="B31" s="95">
        <f t="shared" si="6"/>
        <v>27</v>
      </c>
      <c r="C31" s="95" t="s">
        <v>66</v>
      </c>
      <c r="D31" s="95" t="s">
        <v>79</v>
      </c>
      <c r="E31" s="95" t="s">
        <v>60</v>
      </c>
      <c r="F31" s="96">
        <v>45353</v>
      </c>
      <c r="G31" s="95" t="s">
        <v>130</v>
      </c>
      <c r="H31" s="95" t="s">
        <v>28</v>
      </c>
      <c r="I31" s="112">
        <v>14799.3</v>
      </c>
      <c r="J31" s="112">
        <v>8419.41</v>
      </c>
      <c r="K31" s="113">
        <f t="shared" si="4"/>
        <v>0.43109403823153797</v>
      </c>
      <c r="L31" s="112">
        <v>1216.57</v>
      </c>
      <c r="M31" s="113">
        <f t="shared" si="5"/>
        <v>8.2204563729365576E-2</v>
      </c>
      <c r="N31" s="112">
        <v>41</v>
      </c>
      <c r="O31" s="112">
        <v>0</v>
      </c>
      <c r="P31" s="116">
        <f>250+625+300</f>
        <v>1175</v>
      </c>
      <c r="Q31" s="126">
        <f t="shared" si="0"/>
        <v>7.9395647091416485E-2</v>
      </c>
      <c r="R31" s="114">
        <f t="shared" si="1"/>
        <v>7244.41</v>
      </c>
      <c r="S31" s="126">
        <f t="shared" si="2"/>
        <v>0.48951031467704553</v>
      </c>
      <c r="T31" s="126">
        <f t="shared" si="3"/>
        <v>0.34888947450217239</v>
      </c>
      <c r="U31" s="99"/>
      <c r="V31" s="98"/>
      <c r="W31" s="98"/>
      <c r="X31" s="98"/>
      <c r="Y31" s="98"/>
    </row>
    <row r="32" spans="2:25" s="4" customFormat="1" ht="15.75" x14ac:dyDescent="0.25">
      <c r="B32" s="95">
        <f t="shared" si="6"/>
        <v>28</v>
      </c>
      <c r="C32" s="95" t="s">
        <v>64</v>
      </c>
      <c r="D32" s="95" t="s">
        <v>79</v>
      </c>
      <c r="E32" s="96" t="s">
        <v>60</v>
      </c>
      <c r="F32" s="96">
        <v>45398</v>
      </c>
      <c r="G32" s="95" t="s">
        <v>131</v>
      </c>
      <c r="H32" s="115" t="s">
        <v>24</v>
      </c>
      <c r="I32" s="112">
        <v>14161.21</v>
      </c>
      <c r="J32" s="112">
        <v>7246.89</v>
      </c>
      <c r="K32" s="113">
        <f t="shared" si="4"/>
        <v>0.48825771244123906</v>
      </c>
      <c r="L32" s="112">
        <v>1766.2</v>
      </c>
      <c r="M32" s="113">
        <f t="shared" si="5"/>
        <v>0.12472098076364944</v>
      </c>
      <c r="N32" s="112">
        <v>1340.71</v>
      </c>
      <c r="O32" s="112">
        <v>0</v>
      </c>
      <c r="P32" s="116">
        <v>2743</v>
      </c>
      <c r="Q32" s="126">
        <f t="shared" si="0"/>
        <v>0.19369813737667899</v>
      </c>
      <c r="R32" s="114">
        <f t="shared" si="1"/>
        <v>4503.8900000000003</v>
      </c>
      <c r="S32" s="126">
        <f t="shared" si="2"/>
        <v>0.31804415018208193</v>
      </c>
      <c r="T32" s="126">
        <f t="shared" si="3"/>
        <v>0.3635367316775896</v>
      </c>
      <c r="U32" s="100"/>
      <c r="V32" s="98"/>
      <c r="W32" s="98"/>
      <c r="X32" s="98"/>
      <c r="Y32" s="98"/>
    </row>
    <row r="33" spans="2:25" s="4" customFormat="1" ht="15.75" x14ac:dyDescent="0.25">
      <c r="B33" s="95">
        <f t="shared" si="6"/>
        <v>29</v>
      </c>
      <c r="C33" s="95" t="s">
        <v>64</v>
      </c>
      <c r="D33" s="95" t="s">
        <v>133</v>
      </c>
      <c r="E33" s="96" t="s">
        <v>60</v>
      </c>
      <c r="F33" s="96">
        <v>45408</v>
      </c>
      <c r="G33" s="95" t="s">
        <v>132</v>
      </c>
      <c r="H33" s="115" t="s">
        <v>24</v>
      </c>
      <c r="I33" s="112">
        <v>13004.97</v>
      </c>
      <c r="J33" s="112">
        <v>6173.13</v>
      </c>
      <c r="K33" s="113">
        <f t="shared" si="4"/>
        <v>0.52532531793614279</v>
      </c>
      <c r="L33" s="112">
        <v>1241.01</v>
      </c>
      <c r="M33" s="113">
        <f t="shared" si="5"/>
        <v>9.5425825665111111E-2</v>
      </c>
      <c r="N33" s="112">
        <v>136.52000000000001</v>
      </c>
      <c r="O33" s="112">
        <v>0</v>
      </c>
      <c r="P33" s="116">
        <f>1764</f>
        <v>1764</v>
      </c>
      <c r="Q33" s="126">
        <f t="shared" si="0"/>
        <v>0.13564045130438596</v>
      </c>
      <c r="R33" s="114">
        <f t="shared" si="1"/>
        <v>4409.13</v>
      </c>
      <c r="S33" s="126">
        <f t="shared" si="2"/>
        <v>0.3390342307594712</v>
      </c>
      <c r="T33" s="126">
        <f t="shared" si="3"/>
        <v>0.42989949227103169</v>
      </c>
      <c r="U33" s="100"/>
      <c r="V33" s="98"/>
      <c r="W33" s="98"/>
      <c r="X33" s="98"/>
      <c r="Y33" s="98"/>
    </row>
    <row r="34" spans="2:25" s="4" customFormat="1" ht="15.75" x14ac:dyDescent="0.25">
      <c r="B34" s="95">
        <f t="shared" si="6"/>
        <v>30</v>
      </c>
      <c r="C34" s="95" t="s">
        <v>70</v>
      </c>
      <c r="D34" s="95" t="s">
        <v>61</v>
      </c>
      <c r="E34" s="96" t="s">
        <v>94</v>
      </c>
      <c r="F34" s="96">
        <v>45314</v>
      </c>
      <c r="G34" s="95" t="s">
        <v>134</v>
      </c>
      <c r="H34" s="115" t="s">
        <v>15</v>
      </c>
      <c r="I34" s="112">
        <v>16178.88</v>
      </c>
      <c r="J34" s="112">
        <v>7404.61</v>
      </c>
      <c r="K34" s="113">
        <f t="shared" si="4"/>
        <v>0.54232864079590182</v>
      </c>
      <c r="L34" s="112">
        <v>1375.6</v>
      </c>
      <c r="M34" s="113">
        <f t="shared" si="5"/>
        <v>8.502442690717775E-2</v>
      </c>
      <c r="N34" s="112">
        <v>-535.72</v>
      </c>
      <c r="O34" s="112">
        <v>0</v>
      </c>
      <c r="P34" s="116">
        <f>202.5+1142+86.2+2211</f>
        <v>3641.7</v>
      </c>
      <c r="Q34" s="126">
        <f t="shared" si="0"/>
        <v>0.225089746632647</v>
      </c>
      <c r="R34" s="114">
        <f t="shared" si="1"/>
        <v>3762.91</v>
      </c>
      <c r="S34" s="126">
        <f t="shared" si="2"/>
        <v>0.23258161257145119</v>
      </c>
      <c r="T34" s="126">
        <f t="shared" si="3"/>
        <v>0.45730421388872405</v>
      </c>
      <c r="U34" s="100"/>
      <c r="V34" s="98"/>
      <c r="W34" s="98"/>
      <c r="X34" s="98"/>
      <c r="Y34" s="98"/>
    </row>
    <row r="35" spans="2:25" s="4" customFormat="1" ht="15.75" x14ac:dyDescent="0.25">
      <c r="B35" s="95">
        <f t="shared" si="6"/>
        <v>31</v>
      </c>
      <c r="C35" s="95" t="s">
        <v>64</v>
      </c>
      <c r="D35" s="95" t="s">
        <v>67</v>
      </c>
      <c r="E35" s="96" t="s">
        <v>105</v>
      </c>
      <c r="F35" s="96">
        <v>45376</v>
      </c>
      <c r="G35" s="95" t="s">
        <v>135</v>
      </c>
      <c r="H35" s="115" t="s">
        <v>15</v>
      </c>
      <c r="I35" s="112">
        <v>7732.4</v>
      </c>
      <c r="J35" s="112">
        <v>3336.02</v>
      </c>
      <c r="K35" s="113">
        <f t="shared" si="4"/>
        <v>0.56856603383166926</v>
      </c>
      <c r="L35" s="112">
        <v>1058.79</v>
      </c>
      <c r="M35" s="113">
        <f t="shared" si="5"/>
        <v>0.13692902591692102</v>
      </c>
      <c r="N35" s="112">
        <v>769.24</v>
      </c>
      <c r="O35" s="112">
        <v>0</v>
      </c>
      <c r="P35" s="116">
        <f>1106</f>
        <v>1106</v>
      </c>
      <c r="Q35" s="126">
        <f t="shared" si="0"/>
        <v>0.14303450416429569</v>
      </c>
      <c r="R35" s="114">
        <f t="shared" si="1"/>
        <v>2230.02</v>
      </c>
      <c r="S35" s="126">
        <f t="shared" si="2"/>
        <v>0.28839946200403499</v>
      </c>
      <c r="T35" s="126">
        <f t="shared" si="3"/>
        <v>0.43163700791474824</v>
      </c>
      <c r="U35" s="100"/>
      <c r="V35" s="98"/>
      <c r="W35" s="98"/>
      <c r="X35" s="98"/>
      <c r="Y35" s="98"/>
    </row>
    <row r="36" spans="2:25" s="4" customFormat="1" ht="15.75" x14ac:dyDescent="0.25">
      <c r="B36" s="95">
        <f t="shared" si="6"/>
        <v>32</v>
      </c>
      <c r="C36" s="95" t="s">
        <v>64</v>
      </c>
      <c r="D36" s="95" t="s">
        <v>67</v>
      </c>
      <c r="E36" s="96" t="s">
        <v>105</v>
      </c>
      <c r="F36" s="96">
        <v>45385</v>
      </c>
      <c r="G36" s="95" t="s">
        <v>136</v>
      </c>
      <c r="H36" s="115" t="s">
        <v>15</v>
      </c>
      <c r="I36" s="112">
        <v>15617.19</v>
      </c>
      <c r="J36" s="112">
        <v>5949.33</v>
      </c>
      <c r="K36" s="113">
        <f t="shared" si="4"/>
        <v>0.61905246718519791</v>
      </c>
      <c r="L36" s="112">
        <v>2146.9899999999998</v>
      </c>
      <c r="M36" s="113">
        <f t="shared" si="5"/>
        <v>0.13747607604184875</v>
      </c>
      <c r="N36" s="112">
        <v>1533.19</v>
      </c>
      <c r="O36" s="112">
        <v>0</v>
      </c>
      <c r="P36" s="116">
        <f>1848.5</f>
        <v>1848.5</v>
      </c>
      <c r="Q36" s="126">
        <f t="shared" si="0"/>
        <v>0.11836316264321559</v>
      </c>
      <c r="R36" s="114">
        <f t="shared" si="1"/>
        <v>4100.83</v>
      </c>
      <c r="S36" s="126">
        <f t="shared" si="2"/>
        <v>0.26258437017158653</v>
      </c>
      <c r="T36" s="126">
        <f t="shared" si="3"/>
        <v>0.48157639114334916</v>
      </c>
      <c r="U36" s="100"/>
      <c r="V36" s="98"/>
      <c r="W36" s="98"/>
      <c r="X36" s="98"/>
      <c r="Y36" s="98"/>
    </row>
    <row r="37" spans="2:25" s="4" customFormat="1" ht="15.75" x14ac:dyDescent="0.25">
      <c r="B37" s="95">
        <f t="shared" si="6"/>
        <v>33</v>
      </c>
      <c r="C37" s="95" t="s">
        <v>64</v>
      </c>
      <c r="D37" s="95" t="s">
        <v>67</v>
      </c>
      <c r="E37" s="96" t="s">
        <v>112</v>
      </c>
      <c r="F37" s="96">
        <v>45377</v>
      </c>
      <c r="G37" s="95" t="s">
        <v>137</v>
      </c>
      <c r="H37" s="115" t="s">
        <v>15</v>
      </c>
      <c r="I37" s="112">
        <v>12795.35</v>
      </c>
      <c r="J37" s="112">
        <v>5588.97</v>
      </c>
      <c r="K37" s="113">
        <f t="shared" si="4"/>
        <v>0.56320303860386778</v>
      </c>
      <c r="L37" s="112">
        <v>1568.94</v>
      </c>
      <c r="M37" s="113">
        <f t="shared" si="5"/>
        <v>0.12261798231388747</v>
      </c>
      <c r="N37" s="112">
        <v>793.5</v>
      </c>
      <c r="O37" s="112">
        <v>0</v>
      </c>
      <c r="P37" s="116">
        <v>1595</v>
      </c>
      <c r="Q37" s="126">
        <f t="shared" si="0"/>
        <v>0.12465465970059435</v>
      </c>
      <c r="R37" s="114">
        <f t="shared" si="1"/>
        <v>3993.9700000000003</v>
      </c>
      <c r="S37" s="126">
        <f t="shared" si="2"/>
        <v>0.31214230169553786</v>
      </c>
      <c r="T37" s="126">
        <f t="shared" si="3"/>
        <v>0.44058505628998029</v>
      </c>
      <c r="U37" s="100"/>
      <c r="V37" s="98"/>
      <c r="W37" s="98"/>
      <c r="X37" s="98"/>
      <c r="Y37" s="98"/>
    </row>
    <row r="38" spans="2:25" s="4" customFormat="1" ht="15.75" x14ac:dyDescent="0.25">
      <c r="B38" s="95">
        <f t="shared" si="6"/>
        <v>34</v>
      </c>
      <c r="C38" s="95" t="s">
        <v>64</v>
      </c>
      <c r="D38" s="95" t="s">
        <v>67</v>
      </c>
      <c r="E38" s="96" t="s">
        <v>105</v>
      </c>
      <c r="F38" s="96">
        <v>45330</v>
      </c>
      <c r="G38" s="95" t="s">
        <v>97</v>
      </c>
      <c r="H38" s="115" t="s">
        <v>15</v>
      </c>
      <c r="I38" s="112">
        <v>11655.28</v>
      </c>
      <c r="J38" s="112">
        <f>6412.73-44.98-222.65</f>
        <v>6145.1</v>
      </c>
      <c r="K38" s="113">
        <f t="shared" si="4"/>
        <v>0.47276255911483894</v>
      </c>
      <c r="L38" s="112">
        <v>1265.8800000000001</v>
      </c>
      <c r="M38" s="113">
        <f t="shared" si="5"/>
        <v>0.10861000336328257</v>
      </c>
      <c r="N38" s="112">
        <v>320.88</v>
      </c>
      <c r="O38" s="112">
        <v>0</v>
      </c>
      <c r="P38" s="116">
        <f>1606+185</f>
        <v>1791</v>
      </c>
      <c r="Q38" s="126">
        <f t="shared" si="0"/>
        <v>0.15366426203403091</v>
      </c>
      <c r="R38" s="114">
        <f t="shared" si="1"/>
        <v>4354.1000000000004</v>
      </c>
      <c r="S38" s="126">
        <f t="shared" si="2"/>
        <v>0.37357317885113012</v>
      </c>
      <c r="T38" s="126">
        <f t="shared" si="3"/>
        <v>0.36415255575155636</v>
      </c>
      <c r="U38" s="100"/>
      <c r="V38" s="98"/>
      <c r="W38" s="98"/>
      <c r="X38" s="98"/>
      <c r="Y38" s="98"/>
    </row>
    <row r="39" spans="2:25" s="4" customFormat="1" ht="15.75" x14ac:dyDescent="0.25">
      <c r="B39" s="95">
        <f t="shared" si="6"/>
        <v>35</v>
      </c>
      <c r="C39" s="95" t="s">
        <v>139</v>
      </c>
      <c r="D39" s="95" t="s">
        <v>62</v>
      </c>
      <c r="E39" s="96" t="s">
        <v>105</v>
      </c>
      <c r="F39" s="96">
        <v>45390</v>
      </c>
      <c r="G39" s="95" t="s">
        <v>140</v>
      </c>
      <c r="H39" s="115" t="s">
        <v>15</v>
      </c>
      <c r="I39" s="112">
        <v>11578.09</v>
      </c>
      <c r="J39" s="112">
        <v>4057.9</v>
      </c>
      <c r="K39" s="113">
        <f t="shared" si="4"/>
        <v>0.64951904847863506</v>
      </c>
      <c r="L39" s="112">
        <v>1667.67</v>
      </c>
      <c r="M39" s="113">
        <f t="shared" si="5"/>
        <v>0.14403671071826182</v>
      </c>
      <c r="N39" s="112">
        <v>1344.39</v>
      </c>
      <c r="O39" s="112">
        <v>0</v>
      </c>
      <c r="P39" s="116">
        <v>1116</v>
      </c>
      <c r="Q39" s="126">
        <f t="shared" si="0"/>
        <v>9.6388955345829919E-2</v>
      </c>
      <c r="R39" s="114">
        <f t="shared" si="1"/>
        <v>2941.9</v>
      </c>
      <c r="S39" s="126">
        <f t="shared" si="2"/>
        <v>0.25409199617553502</v>
      </c>
      <c r="T39" s="126">
        <f t="shared" si="3"/>
        <v>0.50548233776037321</v>
      </c>
      <c r="U39" s="100"/>
      <c r="V39" s="98"/>
      <c r="W39" s="98"/>
      <c r="X39" s="98"/>
      <c r="Y39" s="98"/>
    </row>
    <row r="40" spans="2:25" s="4" customFormat="1" ht="15.75" x14ac:dyDescent="0.25">
      <c r="B40" s="95">
        <f t="shared" si="6"/>
        <v>36</v>
      </c>
      <c r="C40" s="95" t="s">
        <v>64</v>
      </c>
      <c r="D40" s="95" t="s">
        <v>141</v>
      </c>
      <c r="E40" s="96" t="s">
        <v>103</v>
      </c>
      <c r="F40" s="96">
        <v>45385</v>
      </c>
      <c r="G40" s="95" t="s">
        <v>142</v>
      </c>
      <c r="H40" s="115" t="s">
        <v>138</v>
      </c>
      <c r="I40" s="112">
        <v>18192.8</v>
      </c>
      <c r="J40" s="112">
        <v>6918.04</v>
      </c>
      <c r="K40" s="113">
        <f t="shared" si="4"/>
        <v>0.61973747856294792</v>
      </c>
      <c r="L40" s="112">
        <v>2918.48</v>
      </c>
      <c r="M40" s="113">
        <f t="shared" si="5"/>
        <v>0.16041950661800272</v>
      </c>
      <c r="N40" s="112">
        <v>2818</v>
      </c>
      <c r="O40" s="112">
        <v>0</v>
      </c>
      <c r="P40" s="116">
        <v>2738</v>
      </c>
      <c r="Q40" s="126">
        <f t="shared" si="0"/>
        <v>0.15049909854447915</v>
      </c>
      <c r="R40" s="114">
        <f t="shared" si="1"/>
        <v>4180.04</v>
      </c>
      <c r="S40" s="126">
        <f t="shared" si="2"/>
        <v>0.2297634228925729</v>
      </c>
      <c r="T40" s="126">
        <f t="shared" si="3"/>
        <v>0.45931797194494517</v>
      </c>
      <c r="U40" s="100"/>
      <c r="V40" s="98"/>
      <c r="W40" s="98"/>
      <c r="X40" s="98"/>
      <c r="Y40" s="98"/>
    </row>
    <row r="41" spans="2:25" s="4" customFormat="1" ht="15.75" x14ac:dyDescent="0.25">
      <c r="B41" s="95">
        <f t="shared" si="6"/>
        <v>37</v>
      </c>
      <c r="C41" s="95" t="s">
        <v>71</v>
      </c>
      <c r="D41" s="95" t="s">
        <v>62</v>
      </c>
      <c r="E41" s="96" t="s">
        <v>112</v>
      </c>
      <c r="F41" s="96">
        <v>45335</v>
      </c>
      <c r="G41" s="95" t="s">
        <v>143</v>
      </c>
      <c r="H41" s="115" t="s">
        <v>16</v>
      </c>
      <c r="I41" s="112">
        <v>23108.03</v>
      </c>
      <c r="J41" s="112">
        <f>10497.29+240</f>
        <v>10737.29</v>
      </c>
      <c r="K41" s="113">
        <f t="shared" si="4"/>
        <v>0.53534377443685155</v>
      </c>
      <c r="L41" s="112">
        <v>2878.6</v>
      </c>
      <c r="M41" s="113">
        <f t="shared" si="5"/>
        <v>0.12457141521799998</v>
      </c>
      <c r="N41" s="112">
        <v>1815.43</v>
      </c>
      <c r="O41" s="112">
        <v>0</v>
      </c>
      <c r="P41" s="116">
        <f>1300+700+402.5+200</f>
        <v>2602.5</v>
      </c>
      <c r="Q41" s="126">
        <f t="shared" si="0"/>
        <v>0.11262318769709058</v>
      </c>
      <c r="R41" s="114">
        <f t="shared" si="1"/>
        <v>8134.7900000000009</v>
      </c>
      <c r="S41" s="126">
        <f t="shared" si="2"/>
        <v>0.35203303786605789</v>
      </c>
      <c r="T41" s="126">
        <f t="shared" si="3"/>
        <v>0.41077235921885158</v>
      </c>
      <c r="U41" s="100"/>
      <c r="V41" s="98"/>
      <c r="W41" s="98"/>
      <c r="X41" s="98"/>
      <c r="Y41" s="98"/>
    </row>
    <row r="42" spans="2:25" s="4" customFormat="1" ht="15.75" x14ac:dyDescent="0.25">
      <c r="B42" s="95">
        <f t="shared" si="6"/>
        <v>38</v>
      </c>
      <c r="C42" s="95" t="s">
        <v>64</v>
      </c>
      <c r="D42" s="95" t="s">
        <v>61</v>
      </c>
      <c r="E42" s="96" t="s">
        <v>94</v>
      </c>
      <c r="F42" s="96">
        <v>45338</v>
      </c>
      <c r="G42" s="95" t="s">
        <v>144</v>
      </c>
      <c r="H42" s="115" t="s">
        <v>15</v>
      </c>
      <c r="I42" s="112">
        <v>24888.87</v>
      </c>
      <c r="J42" s="112">
        <v>10860.79</v>
      </c>
      <c r="K42" s="113">
        <f t="shared" si="4"/>
        <v>0.5636286420395944</v>
      </c>
      <c r="L42" s="112">
        <v>2702.96</v>
      </c>
      <c r="M42" s="113">
        <f t="shared" si="5"/>
        <v>0.10860115384908998</v>
      </c>
      <c r="N42" s="112">
        <v>605.16999999999996</v>
      </c>
      <c r="O42" s="112">
        <v>0</v>
      </c>
      <c r="P42" s="116">
        <f>4988+300</f>
        <v>5288</v>
      </c>
      <c r="Q42" s="126">
        <f t="shared" si="0"/>
        <v>0.21246444695962494</v>
      </c>
      <c r="R42" s="114">
        <f t="shared" si="1"/>
        <v>5572.7900000000009</v>
      </c>
      <c r="S42" s="126">
        <f t="shared" si="2"/>
        <v>0.22390691100078072</v>
      </c>
      <c r="T42" s="126">
        <f t="shared" si="3"/>
        <v>0.45502748819050443</v>
      </c>
      <c r="U42" s="100"/>
      <c r="V42" s="98"/>
      <c r="W42" s="98"/>
      <c r="X42" s="98"/>
      <c r="Y42" s="98"/>
    </row>
    <row r="43" spans="2:25" s="4" customFormat="1" ht="15.75" x14ac:dyDescent="0.25">
      <c r="B43" s="95">
        <f t="shared" si="6"/>
        <v>39</v>
      </c>
      <c r="C43" s="95" t="s">
        <v>71</v>
      </c>
      <c r="D43" s="95" t="s">
        <v>67</v>
      </c>
      <c r="E43" s="96" t="s">
        <v>94</v>
      </c>
      <c r="F43" s="96">
        <v>45400</v>
      </c>
      <c r="G43" s="95" t="s">
        <v>145</v>
      </c>
      <c r="H43" s="115" t="s">
        <v>15</v>
      </c>
      <c r="I43" s="112">
        <v>12103.99</v>
      </c>
      <c r="J43" s="112">
        <v>4819.92</v>
      </c>
      <c r="K43" s="113">
        <f t="shared" si="4"/>
        <v>0.60179081443391802</v>
      </c>
      <c r="L43" s="112">
        <v>1636.36</v>
      </c>
      <c r="M43" s="113">
        <f t="shared" si="5"/>
        <v>0.13519178386631184</v>
      </c>
      <c r="N43" s="112">
        <v>1226.3399999999999</v>
      </c>
      <c r="O43" s="112">
        <v>0</v>
      </c>
      <c r="P43" s="116">
        <v>1461</v>
      </c>
      <c r="Q43" s="126">
        <f t="shared" si="0"/>
        <v>0.12070399925974823</v>
      </c>
      <c r="R43" s="114">
        <f t="shared" si="1"/>
        <v>3358.92</v>
      </c>
      <c r="S43" s="126">
        <f t="shared" si="2"/>
        <v>0.2775051863063337</v>
      </c>
      <c r="T43" s="126">
        <f t="shared" si="3"/>
        <v>0.46659903056760621</v>
      </c>
      <c r="U43" s="100"/>
      <c r="V43" s="98"/>
      <c r="W43" s="98"/>
      <c r="X43" s="98"/>
      <c r="Y43" s="98"/>
    </row>
    <row r="44" spans="2:25" s="4" customFormat="1" ht="15.75" x14ac:dyDescent="0.25">
      <c r="B44" s="95">
        <f t="shared" si="6"/>
        <v>40</v>
      </c>
      <c r="C44" s="95" t="s">
        <v>69</v>
      </c>
      <c r="D44" s="95" t="s">
        <v>79</v>
      </c>
      <c r="E44" s="96" t="s">
        <v>60</v>
      </c>
      <c r="F44" s="96">
        <v>45386</v>
      </c>
      <c r="G44" s="95" t="s">
        <v>146</v>
      </c>
      <c r="H44" s="115" t="s">
        <v>29</v>
      </c>
      <c r="I44" s="112">
        <v>18457.560000000001</v>
      </c>
      <c r="J44" s="112">
        <v>10893.86</v>
      </c>
      <c r="K44" s="113">
        <f t="shared" si="4"/>
        <v>0.40978872613714923</v>
      </c>
      <c r="L44" s="112">
        <v>1978.24</v>
      </c>
      <c r="M44" s="113">
        <f t="shared" si="5"/>
        <v>0.10717776347469546</v>
      </c>
      <c r="N44" s="112">
        <v>149.96</v>
      </c>
      <c r="O44" s="112">
        <v>0</v>
      </c>
      <c r="P44" s="116">
        <f>543.5+1250</f>
        <v>1793.5</v>
      </c>
      <c r="Q44" s="126">
        <f t="shared" si="0"/>
        <v>9.7168856555254313E-2</v>
      </c>
      <c r="R44" s="114">
        <f t="shared" si="1"/>
        <v>9100.36</v>
      </c>
      <c r="S44" s="126">
        <f t="shared" si="2"/>
        <v>0.49304241730759646</v>
      </c>
      <c r="T44" s="126">
        <f t="shared" si="3"/>
        <v>0.3026109626624538</v>
      </c>
      <c r="U44" s="100"/>
      <c r="V44" s="98"/>
      <c r="W44" s="98"/>
      <c r="X44" s="98"/>
      <c r="Y44" s="98"/>
    </row>
    <row r="45" spans="2:25" s="4" customFormat="1" ht="15.75" x14ac:dyDescent="0.25">
      <c r="B45" s="95">
        <f t="shared" si="6"/>
        <v>41</v>
      </c>
      <c r="C45" s="95" t="s">
        <v>66</v>
      </c>
      <c r="D45" s="95" t="s">
        <v>67</v>
      </c>
      <c r="E45" s="96" t="s">
        <v>105</v>
      </c>
      <c r="F45" s="96">
        <v>45379</v>
      </c>
      <c r="G45" s="95" t="s">
        <v>147</v>
      </c>
      <c r="H45" s="115" t="s">
        <v>138</v>
      </c>
      <c r="I45" s="112">
        <v>20255.03</v>
      </c>
      <c r="J45" s="112">
        <v>8536.77</v>
      </c>
      <c r="K45" s="113">
        <f t="shared" si="4"/>
        <v>0.57853580073690336</v>
      </c>
      <c r="L45" s="112">
        <v>2339.31</v>
      </c>
      <c r="M45" s="113">
        <f t="shared" si="5"/>
        <v>0.11549279364187563</v>
      </c>
      <c r="N45" s="112">
        <v>854.53</v>
      </c>
      <c r="O45" s="112">
        <v>0</v>
      </c>
      <c r="P45" s="116">
        <v>2343.5</v>
      </c>
      <c r="Q45" s="126">
        <f t="shared" si="0"/>
        <v>0.11569965583857443</v>
      </c>
      <c r="R45" s="114">
        <f t="shared" si="1"/>
        <v>6193.27</v>
      </c>
      <c r="S45" s="126">
        <f t="shared" si="2"/>
        <v>0.30576454342452225</v>
      </c>
      <c r="T45" s="126">
        <f t="shared" si="3"/>
        <v>0.46304300709502771</v>
      </c>
      <c r="U45" s="100"/>
      <c r="V45" s="98"/>
      <c r="W45" s="98"/>
      <c r="X45" s="98"/>
      <c r="Y45" s="98"/>
    </row>
    <row r="46" spans="2:25" s="4" customFormat="1" ht="15.75" x14ac:dyDescent="0.25">
      <c r="B46" s="95">
        <f t="shared" si="6"/>
        <v>42</v>
      </c>
      <c r="C46" s="95" t="s">
        <v>64</v>
      </c>
      <c r="D46" s="95" t="s">
        <v>67</v>
      </c>
      <c r="E46" s="96" t="s">
        <v>105</v>
      </c>
      <c r="F46" s="96">
        <v>45378</v>
      </c>
      <c r="G46" s="95" t="s">
        <v>148</v>
      </c>
      <c r="H46" s="115" t="s">
        <v>15</v>
      </c>
      <c r="I46" s="112">
        <v>9856.4500000000007</v>
      </c>
      <c r="J46" s="112">
        <v>4065.95</v>
      </c>
      <c r="K46" s="113">
        <f t="shared" si="4"/>
        <v>0.58748332310314566</v>
      </c>
      <c r="L46" s="112">
        <v>1408.9</v>
      </c>
      <c r="M46" s="113">
        <f t="shared" si="5"/>
        <v>0.1429419314256147</v>
      </c>
      <c r="N46" s="112">
        <v>1128.1500000000001</v>
      </c>
      <c r="O46" s="112">
        <v>0</v>
      </c>
      <c r="P46" s="116">
        <v>1246</v>
      </c>
      <c r="Q46" s="126">
        <f t="shared" si="0"/>
        <v>0.12641468277118029</v>
      </c>
      <c r="R46" s="114">
        <f t="shared" si="1"/>
        <v>2819.95</v>
      </c>
      <c r="S46" s="126">
        <f t="shared" si="2"/>
        <v>0.286101994125674</v>
      </c>
      <c r="T46" s="126">
        <f t="shared" si="3"/>
        <v>0.44454139167753093</v>
      </c>
      <c r="U46" s="100"/>
      <c r="V46" s="98"/>
      <c r="W46" s="98"/>
      <c r="X46" s="98"/>
      <c r="Y46" s="98"/>
    </row>
    <row r="47" spans="2:25" s="4" customFormat="1" ht="15.75" x14ac:dyDescent="0.25">
      <c r="B47" s="95">
        <f t="shared" si="6"/>
        <v>43</v>
      </c>
      <c r="C47" s="95" t="s">
        <v>66</v>
      </c>
      <c r="D47" s="95" t="s">
        <v>79</v>
      </c>
      <c r="E47" s="96" t="s">
        <v>60</v>
      </c>
      <c r="F47" s="96">
        <v>45381</v>
      </c>
      <c r="G47" s="95" t="s">
        <v>149</v>
      </c>
      <c r="H47" s="115" t="s">
        <v>17</v>
      </c>
      <c r="I47" s="112">
        <v>20726.919999999998</v>
      </c>
      <c r="J47" s="112">
        <v>11681.36</v>
      </c>
      <c r="K47" s="113">
        <f t="shared" si="4"/>
        <v>0.43641602322004419</v>
      </c>
      <c r="L47" s="112">
        <v>4028.33</v>
      </c>
      <c r="M47" s="113">
        <f t="shared" si="5"/>
        <v>0.1943525617892094</v>
      </c>
      <c r="N47" s="112">
        <v>4173.55</v>
      </c>
      <c r="O47" s="112">
        <v>0</v>
      </c>
      <c r="P47" s="116">
        <v>2510</v>
      </c>
      <c r="Q47" s="126">
        <f t="shared" si="0"/>
        <v>0.12109855202799066</v>
      </c>
      <c r="R47" s="114">
        <f t="shared" si="1"/>
        <v>9171.36</v>
      </c>
      <c r="S47" s="126">
        <f t="shared" si="2"/>
        <v>0.44248542475196512</v>
      </c>
      <c r="T47" s="126">
        <f t="shared" si="3"/>
        <v>0.24206346143083479</v>
      </c>
      <c r="U47" s="100"/>
      <c r="V47" s="98"/>
      <c r="W47" s="98"/>
      <c r="X47" s="98"/>
      <c r="Y47" s="98"/>
    </row>
    <row r="48" spans="2:25" s="4" customFormat="1" ht="15.75" x14ac:dyDescent="0.25">
      <c r="B48" s="95">
        <f t="shared" si="6"/>
        <v>44</v>
      </c>
      <c r="C48" s="95" t="s">
        <v>64</v>
      </c>
      <c r="D48" s="95" t="s">
        <v>62</v>
      </c>
      <c r="E48" s="96" t="s">
        <v>105</v>
      </c>
      <c r="F48" s="96">
        <v>45392</v>
      </c>
      <c r="G48" s="95" t="s">
        <v>150</v>
      </c>
      <c r="H48" s="115" t="s">
        <v>15</v>
      </c>
      <c r="I48" s="112">
        <v>25087.11</v>
      </c>
      <c r="J48" s="112">
        <f>10794.76-1198.5</f>
        <v>9596.26</v>
      </c>
      <c r="K48" s="113">
        <f t="shared" si="4"/>
        <v>0.61748244417152875</v>
      </c>
      <c r="L48" s="112">
        <v>2853.31</v>
      </c>
      <c r="M48" s="113">
        <f t="shared" si="5"/>
        <v>0.11373609794033669</v>
      </c>
      <c r="N48" s="112">
        <v>931.51</v>
      </c>
      <c r="O48" s="112">
        <v>0</v>
      </c>
      <c r="P48" s="116">
        <v>2266</v>
      </c>
      <c r="Q48" s="126">
        <f t="shared" si="0"/>
        <v>9.0325270627027179E-2</v>
      </c>
      <c r="R48" s="114">
        <f t="shared" si="1"/>
        <v>7330.26</v>
      </c>
      <c r="S48" s="126">
        <f t="shared" si="2"/>
        <v>0.29219228520144408</v>
      </c>
      <c r="T48" s="126">
        <f t="shared" si="3"/>
        <v>0.50374634623119208</v>
      </c>
      <c r="U48" s="100"/>
      <c r="V48" s="98"/>
      <c r="W48" s="98"/>
      <c r="X48" s="98"/>
      <c r="Y48" s="98"/>
    </row>
    <row r="49" spans="2:25" s="4" customFormat="1" ht="15.75" x14ac:dyDescent="0.25">
      <c r="B49" s="95">
        <f t="shared" si="6"/>
        <v>45</v>
      </c>
      <c r="C49" s="95" t="s">
        <v>64</v>
      </c>
      <c r="D49" s="95" t="s">
        <v>62</v>
      </c>
      <c r="E49" s="96" t="s">
        <v>103</v>
      </c>
      <c r="F49" s="96">
        <v>45366</v>
      </c>
      <c r="G49" s="95" t="s">
        <v>151</v>
      </c>
      <c r="H49" s="115" t="s">
        <v>15</v>
      </c>
      <c r="I49" s="112">
        <v>9454.1200000000008</v>
      </c>
      <c r="J49" s="112">
        <v>4025.97</v>
      </c>
      <c r="K49" s="113">
        <f t="shared" si="4"/>
        <v>0.57415708706891821</v>
      </c>
      <c r="L49" s="112">
        <v>1014.26</v>
      </c>
      <c r="M49" s="113">
        <f t="shared" si="5"/>
        <v>0.1072823277047467</v>
      </c>
      <c r="N49" s="112">
        <v>242.12</v>
      </c>
      <c r="O49" s="112">
        <v>0</v>
      </c>
      <c r="P49" s="116">
        <v>1488</v>
      </c>
      <c r="Q49" s="126">
        <f t="shared" si="0"/>
        <v>0.15739169801102587</v>
      </c>
      <c r="R49" s="114">
        <f t="shared" si="1"/>
        <v>2537.9699999999998</v>
      </c>
      <c r="S49" s="126">
        <f t="shared" si="2"/>
        <v>0.26845121492005597</v>
      </c>
      <c r="T49" s="126">
        <f t="shared" si="3"/>
        <v>0.4668747593641715</v>
      </c>
      <c r="U49" s="100"/>
      <c r="V49" s="98"/>
      <c r="W49" s="98"/>
      <c r="X49" s="98"/>
      <c r="Y49" s="98"/>
    </row>
    <row r="50" spans="2:25" s="4" customFormat="1" ht="15.75" x14ac:dyDescent="0.25">
      <c r="B50" s="95">
        <f t="shared" si="6"/>
        <v>46</v>
      </c>
      <c r="C50" s="95" t="s">
        <v>152</v>
      </c>
      <c r="D50" s="95" t="s">
        <v>153</v>
      </c>
      <c r="E50" s="96" t="s">
        <v>154</v>
      </c>
      <c r="F50" s="96">
        <v>45419</v>
      </c>
      <c r="G50" s="95" t="s">
        <v>155</v>
      </c>
      <c r="H50" s="115" t="s">
        <v>15</v>
      </c>
      <c r="I50" s="112">
        <v>11302.11</v>
      </c>
      <c r="J50" s="112">
        <f>3614.37+387.58</f>
        <v>4001.95</v>
      </c>
      <c r="K50" s="113">
        <f t="shared" si="4"/>
        <v>0.64591125020018392</v>
      </c>
      <c r="L50" s="112">
        <v>1801.06</v>
      </c>
      <c r="M50" s="113">
        <f t="shared" si="5"/>
        <v>0.15935608483725605</v>
      </c>
      <c r="N50" s="112">
        <v>1677.11</v>
      </c>
      <c r="O50" s="112">
        <v>0</v>
      </c>
      <c r="P50" s="116">
        <v>1705</v>
      </c>
      <c r="Q50" s="126">
        <f t="shared" si="0"/>
        <v>0.15085678691854884</v>
      </c>
      <c r="R50" s="114">
        <f t="shared" si="1"/>
        <v>2296.9499999999998</v>
      </c>
      <c r="S50" s="126">
        <f t="shared" si="2"/>
        <v>0.20323196288126727</v>
      </c>
      <c r="T50" s="126">
        <f t="shared" si="3"/>
        <v>0.48655516536292787</v>
      </c>
      <c r="U50" s="100"/>
      <c r="V50" s="98"/>
      <c r="W50" s="98"/>
      <c r="X50" s="98"/>
      <c r="Y50" s="98"/>
    </row>
    <row r="51" spans="2:25" s="4" customFormat="1" ht="15.75" x14ac:dyDescent="0.25">
      <c r="B51" s="95">
        <f t="shared" si="6"/>
        <v>47</v>
      </c>
      <c r="C51" s="95" t="s">
        <v>152</v>
      </c>
      <c r="D51" s="95" t="s">
        <v>153</v>
      </c>
      <c r="E51" s="96" t="s">
        <v>154</v>
      </c>
      <c r="F51" s="96">
        <v>45467</v>
      </c>
      <c r="G51" s="95" t="s">
        <v>156</v>
      </c>
      <c r="H51" s="115" t="s">
        <v>15</v>
      </c>
      <c r="I51" s="112">
        <v>13648.42</v>
      </c>
      <c r="J51" s="112">
        <f>5795.01+387.58</f>
        <v>6182.59</v>
      </c>
      <c r="K51" s="113">
        <f t="shared" si="4"/>
        <v>0.54701056972162343</v>
      </c>
      <c r="L51" s="112">
        <v>1638.54</v>
      </c>
      <c r="M51" s="113">
        <f t="shared" si="5"/>
        <v>0.12005345673711681</v>
      </c>
      <c r="N51" s="112">
        <v>1.92</v>
      </c>
      <c r="O51" s="112">
        <v>0</v>
      </c>
      <c r="P51" s="116">
        <v>2206</v>
      </c>
      <c r="Q51" s="126">
        <f t="shared" si="0"/>
        <v>0.16163043048206313</v>
      </c>
      <c r="R51" s="114">
        <f t="shared" si="1"/>
        <v>3976.59</v>
      </c>
      <c r="S51" s="126">
        <f t="shared" si="2"/>
        <v>0.29135899979631341</v>
      </c>
      <c r="T51" s="126">
        <f t="shared" si="3"/>
        <v>0.42695711298450661</v>
      </c>
      <c r="U51" s="100"/>
      <c r="V51" s="98"/>
      <c r="W51" s="98"/>
      <c r="X51" s="98"/>
      <c r="Y51" s="98"/>
    </row>
    <row r="52" spans="2:25" s="4" customFormat="1" ht="15.75" x14ac:dyDescent="0.25">
      <c r="B52" s="95">
        <f t="shared" si="6"/>
        <v>48</v>
      </c>
      <c r="C52" s="95" t="s">
        <v>152</v>
      </c>
      <c r="D52" s="95" t="s">
        <v>153</v>
      </c>
      <c r="E52" s="96" t="s">
        <v>154</v>
      </c>
      <c r="F52" s="96">
        <v>45407</v>
      </c>
      <c r="G52" s="95" t="s">
        <v>157</v>
      </c>
      <c r="H52" s="115" t="s">
        <v>15</v>
      </c>
      <c r="I52" s="112">
        <v>27642.25</v>
      </c>
      <c r="J52" s="112">
        <f>7960.59+387.58</f>
        <v>8348.17</v>
      </c>
      <c r="K52" s="113">
        <f t="shared" si="4"/>
        <v>0.69799238484566206</v>
      </c>
      <c r="L52" s="112">
        <v>3769.13</v>
      </c>
      <c r="M52" s="113">
        <f t="shared" si="5"/>
        <v>0.13635395092657074</v>
      </c>
      <c r="N52" s="112">
        <v>0</v>
      </c>
      <c r="O52" s="112">
        <v>0</v>
      </c>
      <c r="P52" s="116">
        <v>2123</v>
      </c>
      <c r="Q52" s="126">
        <f t="shared" si="0"/>
        <v>7.6802720473188688E-2</v>
      </c>
      <c r="R52" s="114">
        <f t="shared" si="1"/>
        <v>6225.17</v>
      </c>
      <c r="S52" s="126">
        <f t="shared" si="2"/>
        <v>0.22520489468114932</v>
      </c>
      <c r="T52" s="126">
        <f t="shared" si="3"/>
        <v>0.5616384339190913</v>
      </c>
      <c r="U52" s="100"/>
      <c r="V52" s="98"/>
      <c r="W52" s="98"/>
      <c r="X52" s="98"/>
      <c r="Y52" s="98"/>
    </row>
    <row r="53" spans="2:25" s="4" customFormat="1" ht="15.75" x14ac:dyDescent="0.25">
      <c r="B53" s="95">
        <f t="shared" si="6"/>
        <v>49</v>
      </c>
      <c r="C53" s="95" t="s">
        <v>158</v>
      </c>
      <c r="D53" s="95" t="s">
        <v>62</v>
      </c>
      <c r="E53" s="96" t="s">
        <v>105</v>
      </c>
      <c r="F53" s="96">
        <v>45399</v>
      </c>
      <c r="G53" s="95" t="s">
        <v>159</v>
      </c>
      <c r="H53" s="115" t="s">
        <v>138</v>
      </c>
      <c r="I53" s="112">
        <v>19775.87</v>
      </c>
      <c r="J53" s="112">
        <v>8591.4500000000007</v>
      </c>
      <c r="K53" s="113">
        <f t="shared" si="4"/>
        <v>0.56555893621873521</v>
      </c>
      <c r="L53" s="112">
        <v>2170.86</v>
      </c>
      <c r="M53" s="113">
        <f t="shared" si="5"/>
        <v>0.10977317306394106</v>
      </c>
      <c r="N53" s="112">
        <v>553.16999999999996</v>
      </c>
      <c r="O53" s="112">
        <v>0</v>
      </c>
      <c r="P53" s="116">
        <v>2822</v>
      </c>
      <c r="Q53" s="126">
        <f t="shared" si="0"/>
        <v>0.14269915811542047</v>
      </c>
      <c r="R53" s="114">
        <f t="shared" si="1"/>
        <v>5769.4500000000007</v>
      </c>
      <c r="S53" s="126">
        <f t="shared" si="2"/>
        <v>0.29174190566584435</v>
      </c>
      <c r="T53" s="126">
        <f t="shared" si="3"/>
        <v>0.45578576315479413</v>
      </c>
      <c r="U53" s="100"/>
      <c r="V53" s="98"/>
      <c r="W53" s="98"/>
      <c r="X53" s="98"/>
      <c r="Y53" s="98"/>
    </row>
    <row r="54" spans="2:25" s="4" customFormat="1" ht="15.75" x14ac:dyDescent="0.25">
      <c r="B54" s="95">
        <f t="shared" si="6"/>
        <v>50</v>
      </c>
      <c r="C54" s="95" t="s">
        <v>160</v>
      </c>
      <c r="D54" s="95" t="s">
        <v>67</v>
      </c>
      <c r="E54" s="96" t="s">
        <v>112</v>
      </c>
      <c r="F54" s="96">
        <v>45363</v>
      </c>
      <c r="G54" s="95" t="s">
        <v>161</v>
      </c>
      <c r="H54" s="115" t="s">
        <v>15</v>
      </c>
      <c r="I54" s="112">
        <v>14252.26</v>
      </c>
      <c r="J54" s="112">
        <v>6820.69</v>
      </c>
      <c r="K54" s="113">
        <f t="shared" si="4"/>
        <v>0.52143098708555702</v>
      </c>
      <c r="L54" s="112">
        <v>1636.45</v>
      </c>
      <c r="M54" s="113">
        <f t="shared" si="5"/>
        <v>0.11482038638082662</v>
      </c>
      <c r="N54" s="112">
        <v>598.05999999999995</v>
      </c>
      <c r="O54" s="112">
        <v>0</v>
      </c>
      <c r="P54" s="116">
        <v>1675</v>
      </c>
      <c r="Q54" s="126">
        <f t="shared" si="0"/>
        <v>0.11752522056151095</v>
      </c>
      <c r="R54" s="114">
        <f t="shared" si="1"/>
        <v>5145.6899999999996</v>
      </c>
      <c r="S54" s="126">
        <f t="shared" si="2"/>
        <v>0.36104379235293205</v>
      </c>
      <c r="T54" s="126">
        <f t="shared" si="3"/>
        <v>0.40661060070473043</v>
      </c>
      <c r="U54" s="100"/>
      <c r="V54" s="98"/>
      <c r="W54" s="98"/>
      <c r="X54" s="98"/>
      <c r="Y54" s="98"/>
    </row>
    <row r="55" spans="2:25" s="4" customFormat="1" ht="15.75" x14ac:dyDescent="0.25">
      <c r="B55" s="95">
        <f t="shared" si="6"/>
        <v>51</v>
      </c>
      <c r="C55" s="95" t="s">
        <v>66</v>
      </c>
      <c r="D55" s="95" t="s">
        <v>62</v>
      </c>
      <c r="E55" s="96" t="s">
        <v>94</v>
      </c>
      <c r="F55" s="96">
        <v>45394</v>
      </c>
      <c r="G55" s="95" t="s">
        <v>162</v>
      </c>
      <c r="H55" s="115" t="s">
        <v>138</v>
      </c>
      <c r="I55" s="112">
        <v>18379.060000000001</v>
      </c>
      <c r="J55" s="112">
        <v>7479.52</v>
      </c>
      <c r="K55" s="113">
        <f t="shared" si="4"/>
        <v>0.5930412110303791</v>
      </c>
      <c r="L55" s="112">
        <v>2743.65</v>
      </c>
      <c r="M55" s="113">
        <f t="shared" si="5"/>
        <v>0.1492813016552533</v>
      </c>
      <c r="N55" s="112">
        <v>2334.36</v>
      </c>
      <c r="O55" s="112">
        <v>0</v>
      </c>
      <c r="P55" s="116">
        <f>1585+885</f>
        <v>2470</v>
      </c>
      <c r="Q55" s="126">
        <f t="shared" si="0"/>
        <v>0.1343920744586502</v>
      </c>
      <c r="R55" s="114">
        <f t="shared" si="1"/>
        <v>5009.5200000000004</v>
      </c>
      <c r="S55" s="126">
        <f t="shared" si="2"/>
        <v>0.27256671451097064</v>
      </c>
      <c r="T55" s="126">
        <f t="shared" si="3"/>
        <v>0.44375990937512577</v>
      </c>
      <c r="U55" s="100"/>
      <c r="V55" s="98"/>
      <c r="W55" s="98"/>
      <c r="X55" s="98"/>
      <c r="Y55" s="98"/>
    </row>
    <row r="56" spans="2:25" s="4" customFormat="1" ht="15.75" x14ac:dyDescent="0.25">
      <c r="B56" s="95">
        <f t="shared" si="6"/>
        <v>52</v>
      </c>
      <c r="C56" s="95" t="s">
        <v>66</v>
      </c>
      <c r="D56" s="95" t="s">
        <v>163</v>
      </c>
      <c r="E56" s="96" t="s">
        <v>60</v>
      </c>
      <c r="F56" s="96">
        <v>45441</v>
      </c>
      <c r="G56" s="95" t="s">
        <v>164</v>
      </c>
      <c r="H56" s="115" t="s">
        <v>22</v>
      </c>
      <c r="I56" s="112">
        <v>5645.53</v>
      </c>
      <c r="J56" s="112">
        <v>2052.58</v>
      </c>
      <c r="K56" s="113">
        <f t="shared" si="4"/>
        <v>0.6364238610015357</v>
      </c>
      <c r="L56" s="112">
        <v>856.88</v>
      </c>
      <c r="M56" s="113">
        <f t="shared" si="5"/>
        <v>0.15178025800943401</v>
      </c>
      <c r="N56" s="112">
        <v>1011.53</v>
      </c>
      <c r="O56" s="112">
        <v>0</v>
      </c>
      <c r="P56" s="116">
        <f>665+135</f>
        <v>800</v>
      </c>
      <c r="Q56" s="126">
        <f t="shared" si="0"/>
        <v>0.14170503035144619</v>
      </c>
      <c r="R56" s="114">
        <f t="shared" si="1"/>
        <v>1252.58</v>
      </c>
      <c r="S56" s="126">
        <f t="shared" si="2"/>
        <v>0.22187110864701809</v>
      </c>
      <c r="T56" s="126">
        <f t="shared" si="3"/>
        <v>0.48464360299210169</v>
      </c>
      <c r="U56" s="100"/>
      <c r="V56" s="98"/>
      <c r="W56" s="98"/>
      <c r="X56" s="98"/>
      <c r="Y56" s="98"/>
    </row>
    <row r="57" spans="2:25" s="4" customFormat="1" ht="15.75" x14ac:dyDescent="0.25">
      <c r="B57" s="95">
        <f t="shared" si="6"/>
        <v>53</v>
      </c>
      <c r="C57" s="95" t="s">
        <v>160</v>
      </c>
      <c r="D57" s="95" t="s">
        <v>165</v>
      </c>
      <c r="E57" s="96" t="s">
        <v>60</v>
      </c>
      <c r="F57" s="96">
        <v>45378</v>
      </c>
      <c r="G57" s="95" t="s">
        <v>166</v>
      </c>
      <c r="H57" s="115" t="s">
        <v>18</v>
      </c>
      <c r="I57" s="112">
        <v>28300.12</v>
      </c>
      <c r="J57" s="112">
        <v>12432.5</v>
      </c>
      <c r="K57" s="113">
        <f t="shared" si="4"/>
        <v>0.56069090873112903</v>
      </c>
      <c r="L57" s="112">
        <v>3853.76</v>
      </c>
      <c r="M57" s="113">
        <f t="shared" si="5"/>
        <v>0.13617468759849782</v>
      </c>
      <c r="N57" s="112">
        <v>2239.13</v>
      </c>
      <c r="O57" s="112">
        <v>0</v>
      </c>
      <c r="P57" s="116">
        <v>2487.75</v>
      </c>
      <c r="Q57" s="126">
        <f t="shared" si="0"/>
        <v>8.7905987677790773E-2</v>
      </c>
      <c r="R57" s="114">
        <f t="shared" si="1"/>
        <v>9944.75</v>
      </c>
      <c r="S57" s="126">
        <f t="shared" si="2"/>
        <v>0.35140310359108018</v>
      </c>
      <c r="T57" s="126">
        <f t="shared" si="3"/>
        <v>0.42451622113263121</v>
      </c>
      <c r="U57" s="100"/>
      <c r="V57" s="98"/>
      <c r="W57" s="98"/>
      <c r="X57" s="98"/>
      <c r="Y57" s="98"/>
    </row>
    <row r="58" spans="2:25" s="4" customFormat="1" ht="15.75" x14ac:dyDescent="0.25">
      <c r="B58" s="95">
        <f t="shared" si="6"/>
        <v>54</v>
      </c>
      <c r="C58" s="95" t="s">
        <v>160</v>
      </c>
      <c r="D58" s="95" t="s">
        <v>79</v>
      </c>
      <c r="E58" s="96" t="s">
        <v>60</v>
      </c>
      <c r="F58" s="96">
        <v>45338</v>
      </c>
      <c r="G58" s="95" t="s">
        <v>167</v>
      </c>
      <c r="H58" s="115" t="s">
        <v>29</v>
      </c>
      <c r="I58" s="112">
        <v>26565.67</v>
      </c>
      <c r="J58" s="112">
        <v>14459.11</v>
      </c>
      <c r="K58" s="113">
        <f t="shared" si="4"/>
        <v>0.45572199007214947</v>
      </c>
      <c r="L58" s="112">
        <v>3050.79</v>
      </c>
      <c r="M58" s="113">
        <f t="shared" si="5"/>
        <v>0.11483956549938323</v>
      </c>
      <c r="N58" s="112">
        <v>1895.57</v>
      </c>
      <c r="O58" s="112">
        <v>0</v>
      </c>
      <c r="P58" s="116">
        <v>1896</v>
      </c>
      <c r="Q58" s="126">
        <f t="shared" si="0"/>
        <v>7.1370306113115164E-2</v>
      </c>
      <c r="R58" s="114">
        <f t="shared" si="1"/>
        <v>12563.11</v>
      </c>
      <c r="S58" s="126">
        <f t="shared" si="2"/>
        <v>0.4729077038147354</v>
      </c>
      <c r="T58" s="126">
        <f t="shared" si="3"/>
        <v>0.34088242457276624</v>
      </c>
      <c r="U58" s="100"/>
      <c r="V58" s="98"/>
      <c r="W58" s="98"/>
      <c r="X58" s="98"/>
      <c r="Y58" s="98"/>
    </row>
    <row r="59" spans="2:25" s="4" customFormat="1" ht="15.75" x14ac:dyDescent="0.25">
      <c r="B59" s="95">
        <f t="shared" si="6"/>
        <v>55</v>
      </c>
      <c r="C59" s="95" t="s">
        <v>71</v>
      </c>
      <c r="D59" s="95" t="s">
        <v>62</v>
      </c>
      <c r="E59" s="96" t="s">
        <v>103</v>
      </c>
      <c r="F59" s="96">
        <v>45457</v>
      </c>
      <c r="G59" s="95" t="s">
        <v>168</v>
      </c>
      <c r="H59" s="115" t="s">
        <v>15</v>
      </c>
      <c r="I59" s="112">
        <v>10167.530000000001</v>
      </c>
      <c r="J59" s="112">
        <v>3717.56</v>
      </c>
      <c r="K59" s="113">
        <f t="shared" si="4"/>
        <v>0.63436940928622787</v>
      </c>
      <c r="L59" s="112">
        <v>1272.83</v>
      </c>
      <c r="M59" s="113">
        <f t="shared" si="5"/>
        <v>0.12518576291390335</v>
      </c>
      <c r="N59" s="112">
        <v>806.43</v>
      </c>
      <c r="O59" s="112">
        <v>0</v>
      </c>
      <c r="P59" s="116">
        <v>1416</v>
      </c>
      <c r="Q59" s="126">
        <f t="shared" si="0"/>
        <v>0.13926686225661492</v>
      </c>
      <c r="R59" s="114">
        <f t="shared" si="1"/>
        <v>2301.56</v>
      </c>
      <c r="S59" s="126">
        <f t="shared" si="2"/>
        <v>0.22636372845715722</v>
      </c>
      <c r="T59" s="126">
        <f t="shared" si="3"/>
        <v>0.50918364637232449</v>
      </c>
      <c r="U59" s="100"/>
      <c r="V59" s="98"/>
      <c r="W59" s="98"/>
      <c r="X59" s="98"/>
      <c r="Y59" s="98"/>
    </row>
    <row r="60" spans="2:25" s="4" customFormat="1" ht="15.75" x14ac:dyDescent="0.25">
      <c r="B60" s="95">
        <f t="shared" si="6"/>
        <v>56</v>
      </c>
      <c r="C60" s="95" t="s">
        <v>66</v>
      </c>
      <c r="D60" s="95" t="s">
        <v>163</v>
      </c>
      <c r="E60" s="96" t="s">
        <v>60</v>
      </c>
      <c r="F60" s="96">
        <v>45443</v>
      </c>
      <c r="G60" s="95" t="s">
        <v>169</v>
      </c>
      <c r="H60" s="115" t="s">
        <v>17</v>
      </c>
      <c r="I60" s="112">
        <v>5300.76</v>
      </c>
      <c r="J60" s="112">
        <v>2148.31</v>
      </c>
      <c r="K60" s="113">
        <f t="shared" si="4"/>
        <v>0.59471660667526927</v>
      </c>
      <c r="L60" s="112">
        <v>810.78</v>
      </c>
      <c r="M60" s="113">
        <f t="shared" si="5"/>
        <v>0.15295542525977407</v>
      </c>
      <c r="N60" s="112">
        <v>806.76</v>
      </c>
      <c r="O60" s="112">
        <v>0</v>
      </c>
      <c r="P60" s="116">
        <v>716</v>
      </c>
      <c r="Q60" s="126">
        <f t="shared" si="0"/>
        <v>0.13507497038160565</v>
      </c>
      <c r="R60" s="114">
        <f t="shared" si="1"/>
        <v>1432.31</v>
      </c>
      <c r="S60" s="126">
        <f t="shared" si="2"/>
        <v>0.27020842294312514</v>
      </c>
      <c r="T60" s="126">
        <f t="shared" si="3"/>
        <v>0.4417611814154952</v>
      </c>
      <c r="U60" s="100"/>
      <c r="V60" s="98"/>
      <c r="W60" s="98"/>
      <c r="X60" s="98"/>
      <c r="Y60" s="98"/>
    </row>
    <row r="61" spans="2:25" s="4" customFormat="1" ht="15.75" x14ac:dyDescent="0.25">
      <c r="B61" s="95">
        <f t="shared" si="6"/>
        <v>57</v>
      </c>
      <c r="C61" s="95" t="s">
        <v>160</v>
      </c>
      <c r="D61" s="95" t="s">
        <v>79</v>
      </c>
      <c r="E61" s="96" t="s">
        <v>60</v>
      </c>
      <c r="F61" s="96">
        <v>45441</v>
      </c>
      <c r="G61" s="95" t="s">
        <v>170</v>
      </c>
      <c r="H61" s="115" t="s">
        <v>17</v>
      </c>
      <c r="I61" s="112">
        <v>11490.65</v>
      </c>
      <c r="J61" s="112">
        <f>2127.76+3393.43</f>
        <v>5521.1900000000005</v>
      </c>
      <c r="K61" s="113">
        <f t="shared" si="4"/>
        <v>0.51950585911153846</v>
      </c>
      <c r="L61" s="112">
        <v>974.91</v>
      </c>
      <c r="M61" s="113">
        <f t="shared" si="5"/>
        <v>8.4843764277912917E-2</v>
      </c>
      <c r="N61" s="112">
        <v>-330.39</v>
      </c>
      <c r="O61" s="112">
        <v>0</v>
      </c>
      <c r="P61" s="116">
        <v>1600</v>
      </c>
      <c r="Q61" s="126">
        <f t="shared" si="0"/>
        <v>0.1392436459208139</v>
      </c>
      <c r="R61" s="114">
        <f t="shared" si="1"/>
        <v>3921.1900000000005</v>
      </c>
      <c r="S61" s="126">
        <f t="shared" si="2"/>
        <v>0.34125049496764764</v>
      </c>
      <c r="T61" s="126">
        <f t="shared" si="3"/>
        <v>0.43466209483362556</v>
      </c>
      <c r="U61" s="100"/>
      <c r="V61" s="98"/>
      <c r="W61" s="98"/>
      <c r="X61" s="98"/>
      <c r="Y61" s="98"/>
    </row>
    <row r="62" spans="2:25" s="4" customFormat="1" ht="15.75" x14ac:dyDescent="0.25">
      <c r="B62" s="95">
        <f t="shared" si="6"/>
        <v>58</v>
      </c>
      <c r="C62" s="95" t="s">
        <v>66</v>
      </c>
      <c r="D62" s="95" t="s">
        <v>79</v>
      </c>
      <c r="E62" s="96" t="s">
        <v>60</v>
      </c>
      <c r="F62" s="96">
        <v>45421</v>
      </c>
      <c r="G62" s="95" t="s">
        <v>171</v>
      </c>
      <c r="H62" s="115" t="s">
        <v>122</v>
      </c>
      <c r="I62" s="112">
        <v>19912.41</v>
      </c>
      <c r="J62" s="112">
        <v>5983.51</v>
      </c>
      <c r="K62" s="113">
        <f t="shared" si="4"/>
        <v>0.69950849746464638</v>
      </c>
      <c r="L62" s="112">
        <v>1629.97</v>
      </c>
      <c r="M62" s="113">
        <f t="shared" si="5"/>
        <v>8.1856992699527578E-2</v>
      </c>
      <c r="N62" s="112">
        <v>298.95</v>
      </c>
      <c r="O62" s="112">
        <v>0</v>
      </c>
      <c r="P62" s="116">
        <v>2047.5</v>
      </c>
      <c r="Q62" s="126">
        <f t="shared" si="0"/>
        <v>0.10282532350428703</v>
      </c>
      <c r="R62" s="114">
        <f t="shared" si="1"/>
        <v>3936.01</v>
      </c>
      <c r="S62" s="126">
        <f t="shared" si="2"/>
        <v>0.19766617903106656</v>
      </c>
      <c r="T62" s="126">
        <f t="shared" si="3"/>
        <v>0.61765150476511876</v>
      </c>
      <c r="U62" s="100"/>
      <c r="V62" s="98"/>
      <c r="W62" s="98"/>
      <c r="X62" s="98"/>
      <c r="Y62" s="98"/>
    </row>
    <row r="63" spans="2:25" s="4" customFormat="1" ht="15.75" x14ac:dyDescent="0.25">
      <c r="B63" s="95">
        <f t="shared" si="6"/>
        <v>59</v>
      </c>
      <c r="C63" s="95" t="s">
        <v>160</v>
      </c>
      <c r="D63" s="95" t="s">
        <v>141</v>
      </c>
      <c r="E63" s="96" t="s">
        <v>105</v>
      </c>
      <c r="F63" s="96">
        <v>45481</v>
      </c>
      <c r="G63" s="95" t="s">
        <v>172</v>
      </c>
      <c r="H63" s="115" t="s">
        <v>15</v>
      </c>
      <c r="I63" s="112">
        <v>15665.51</v>
      </c>
      <c r="J63" s="112">
        <v>5524.81</v>
      </c>
      <c r="K63" s="113">
        <f t="shared" si="4"/>
        <v>0.647326515383157</v>
      </c>
      <c r="L63" s="112">
        <v>1498.75</v>
      </c>
      <c r="M63" s="113">
        <f t="shared" si="5"/>
        <v>9.5671957057255078E-2</v>
      </c>
      <c r="N63" s="112">
        <v>2400.5100000000002</v>
      </c>
      <c r="O63" s="112">
        <v>0</v>
      </c>
      <c r="P63" s="116">
        <v>1351</v>
      </c>
      <c r="Q63" s="126">
        <f t="shared" si="0"/>
        <v>8.6240409664287976E-2</v>
      </c>
      <c r="R63" s="114">
        <f t="shared" si="1"/>
        <v>4173.8100000000004</v>
      </c>
      <c r="S63" s="126">
        <f t="shared" si="2"/>
        <v>0.26643307495255503</v>
      </c>
      <c r="T63" s="126">
        <f t="shared" si="3"/>
        <v>0.55165455832590193</v>
      </c>
      <c r="U63" s="100"/>
      <c r="V63" s="98"/>
      <c r="W63" s="98"/>
      <c r="X63" s="98"/>
      <c r="Y63" s="98"/>
    </row>
    <row r="64" spans="2:25" s="4" customFormat="1" ht="15.75" x14ac:dyDescent="0.25">
      <c r="B64" s="95">
        <f t="shared" si="6"/>
        <v>60</v>
      </c>
      <c r="C64" s="95" t="s">
        <v>160</v>
      </c>
      <c r="D64" s="95" t="s">
        <v>141</v>
      </c>
      <c r="E64" s="96" t="s">
        <v>94</v>
      </c>
      <c r="F64" s="96">
        <v>45411</v>
      </c>
      <c r="G64" s="95" t="s">
        <v>173</v>
      </c>
      <c r="H64" s="115" t="s">
        <v>138</v>
      </c>
      <c r="I64" s="112">
        <v>37816.699999999997</v>
      </c>
      <c r="J64" s="112">
        <v>16317.47</v>
      </c>
      <c r="K64" s="113">
        <f t="shared" si="4"/>
        <v>0.56851153062006987</v>
      </c>
      <c r="L64" s="112">
        <v>4978.47</v>
      </c>
      <c r="M64" s="113">
        <f t="shared" si="5"/>
        <v>0.13164739387625046</v>
      </c>
      <c r="N64" s="112">
        <v>3064.5</v>
      </c>
      <c r="O64" s="112">
        <v>0</v>
      </c>
      <c r="P64" s="116">
        <f>6219.5+280.83</f>
        <v>6500.33</v>
      </c>
      <c r="Q64" s="126">
        <f t="shared" si="0"/>
        <v>0.1718904610925861</v>
      </c>
      <c r="R64" s="114">
        <f t="shared" si="1"/>
        <v>9817.14</v>
      </c>
      <c r="S64" s="126">
        <f t="shared" si="2"/>
        <v>0.25959800828734397</v>
      </c>
      <c r="T64" s="126">
        <f t="shared" si="3"/>
        <v>0.43686413674381941</v>
      </c>
      <c r="U64" s="100"/>
      <c r="V64" s="98"/>
      <c r="W64" s="98"/>
      <c r="X64" s="98"/>
      <c r="Y64" s="98"/>
    </row>
    <row r="65" spans="2:25" s="4" customFormat="1" ht="15.75" x14ac:dyDescent="0.25">
      <c r="B65" s="95">
        <f t="shared" si="6"/>
        <v>61</v>
      </c>
      <c r="C65" s="95" t="s">
        <v>64</v>
      </c>
      <c r="D65" s="95" t="s">
        <v>174</v>
      </c>
      <c r="E65" s="96" t="s">
        <v>105</v>
      </c>
      <c r="F65" s="96">
        <v>45472</v>
      </c>
      <c r="G65" s="95" t="s">
        <v>175</v>
      </c>
      <c r="H65" s="115" t="s">
        <v>138</v>
      </c>
      <c r="I65" s="112">
        <v>24710.799999999999</v>
      </c>
      <c r="J65" s="112">
        <v>8048.81</v>
      </c>
      <c r="K65" s="113">
        <f t="shared" si="4"/>
        <v>0.6742796671900545</v>
      </c>
      <c r="L65" s="112">
        <v>4619.5</v>
      </c>
      <c r="M65" s="113">
        <f t="shared" si="5"/>
        <v>0.18694255143500008</v>
      </c>
      <c r="N65" s="112">
        <v>5441.06</v>
      </c>
      <c r="O65" s="112">
        <v>0</v>
      </c>
      <c r="P65" s="116">
        <v>3582</v>
      </c>
      <c r="Q65" s="126">
        <f t="shared" si="0"/>
        <v>0.14495686096767404</v>
      </c>
      <c r="R65" s="114">
        <f t="shared" si="1"/>
        <v>4466.8100000000004</v>
      </c>
      <c r="S65" s="126">
        <f t="shared" si="2"/>
        <v>0.18076347184227143</v>
      </c>
      <c r="T65" s="126">
        <f t="shared" si="3"/>
        <v>0.48733711575505445</v>
      </c>
      <c r="U65" s="100"/>
      <c r="V65" s="98"/>
      <c r="W65" s="98"/>
      <c r="X65" s="98"/>
      <c r="Y65" s="98"/>
    </row>
    <row r="66" spans="2:25" s="4" customFormat="1" ht="15.75" x14ac:dyDescent="0.25">
      <c r="B66" s="95">
        <f t="shared" si="6"/>
        <v>62</v>
      </c>
      <c r="C66" s="95" t="s">
        <v>152</v>
      </c>
      <c r="D66" s="95" t="s">
        <v>153</v>
      </c>
      <c r="E66" s="96" t="s">
        <v>154</v>
      </c>
      <c r="F66" s="96">
        <v>45475</v>
      </c>
      <c r="G66" s="95" t="s">
        <v>176</v>
      </c>
      <c r="H66" s="115" t="s">
        <v>15</v>
      </c>
      <c r="I66" s="112">
        <v>14066.98</v>
      </c>
      <c r="J66" s="112">
        <f>4739.82+153</f>
        <v>4892.82</v>
      </c>
      <c r="K66" s="113">
        <f t="shared" si="4"/>
        <v>0.65217694203020127</v>
      </c>
      <c r="L66" s="112">
        <v>1627.81</v>
      </c>
      <c r="M66" s="113">
        <f t="shared" si="5"/>
        <v>0.11571851243123968</v>
      </c>
      <c r="N66" s="112">
        <v>552.78</v>
      </c>
      <c r="O66" s="112">
        <v>0</v>
      </c>
      <c r="P66" s="116">
        <f>196.72+1280</f>
        <v>1476.72</v>
      </c>
      <c r="Q66" s="126">
        <f t="shared" si="0"/>
        <v>0.10497775641964374</v>
      </c>
      <c r="R66" s="114">
        <f t="shared" si="1"/>
        <v>3416.0999999999995</v>
      </c>
      <c r="S66" s="126">
        <f t="shared" si="2"/>
        <v>0.24284530155015502</v>
      </c>
      <c r="T66" s="126">
        <f t="shared" si="3"/>
        <v>0.53645842959896162</v>
      </c>
      <c r="U66" s="100"/>
      <c r="V66" s="98"/>
      <c r="W66" s="98"/>
      <c r="X66" s="98"/>
      <c r="Y66" s="98"/>
    </row>
    <row r="67" spans="2:25" s="4" customFormat="1" ht="15.75" x14ac:dyDescent="0.25">
      <c r="B67" s="95">
        <f t="shared" si="6"/>
        <v>63</v>
      </c>
      <c r="C67" s="95" t="s">
        <v>152</v>
      </c>
      <c r="D67" s="95" t="s">
        <v>153</v>
      </c>
      <c r="E67" s="96" t="s">
        <v>154</v>
      </c>
      <c r="F67" s="96">
        <v>45469</v>
      </c>
      <c r="G67" s="95" t="s">
        <v>177</v>
      </c>
      <c r="H67" s="115" t="s">
        <v>15</v>
      </c>
      <c r="I67" s="112">
        <v>14602</v>
      </c>
      <c r="J67" s="112">
        <v>5220.5200000000004</v>
      </c>
      <c r="K67" s="113">
        <f t="shared" si="4"/>
        <v>0.64247911245034928</v>
      </c>
      <c r="L67" s="112">
        <v>1629.71</v>
      </c>
      <c r="M67" s="113">
        <f t="shared" si="5"/>
        <v>0.11160868374195317</v>
      </c>
      <c r="N67" s="112">
        <v>778.62</v>
      </c>
      <c r="O67" s="112">
        <v>0</v>
      </c>
      <c r="P67" s="116">
        <f>637+1185</f>
        <v>1822</v>
      </c>
      <c r="Q67" s="126">
        <f t="shared" si="0"/>
        <v>0.12477742774962335</v>
      </c>
      <c r="R67" s="114">
        <f t="shared" si="1"/>
        <v>3398.5200000000004</v>
      </c>
      <c r="S67" s="126">
        <f t="shared" si="2"/>
        <v>0.23274345980002742</v>
      </c>
      <c r="T67" s="126">
        <f t="shared" si="3"/>
        <v>0.53087042870839607</v>
      </c>
      <c r="U67" s="100"/>
      <c r="V67" s="98"/>
      <c r="W67" s="98"/>
      <c r="X67" s="98"/>
      <c r="Y67" s="98"/>
    </row>
    <row r="68" spans="2:25" s="4" customFormat="1" ht="15.75" x14ac:dyDescent="0.25">
      <c r="B68" s="95">
        <f t="shared" si="6"/>
        <v>64</v>
      </c>
      <c r="C68" s="95" t="s">
        <v>152</v>
      </c>
      <c r="D68" s="95" t="s">
        <v>153</v>
      </c>
      <c r="E68" s="96" t="s">
        <v>154</v>
      </c>
      <c r="F68" s="96">
        <v>45457</v>
      </c>
      <c r="G68" s="95" t="s">
        <v>178</v>
      </c>
      <c r="H68" s="115" t="s">
        <v>15</v>
      </c>
      <c r="I68" s="112">
        <v>26233.16</v>
      </c>
      <c r="J68" s="112">
        <v>11361.41</v>
      </c>
      <c r="K68" s="113">
        <f t="shared" si="4"/>
        <v>0.56690654118680328</v>
      </c>
      <c r="L68" s="112">
        <v>4864.09</v>
      </c>
      <c r="M68" s="113">
        <f t="shared" si="5"/>
        <v>0.18541761648234525</v>
      </c>
      <c r="N68" s="112">
        <v>5243.28</v>
      </c>
      <c r="O68" s="112">
        <v>0</v>
      </c>
      <c r="P68" s="116">
        <f>637+637</f>
        <v>1274</v>
      </c>
      <c r="Q68" s="126">
        <f t="shared" si="0"/>
        <v>4.8564488609073399E-2</v>
      </c>
      <c r="R68" s="114">
        <f t="shared" si="1"/>
        <v>10087.41</v>
      </c>
      <c r="S68" s="126">
        <f t="shared" si="2"/>
        <v>0.38452897020412335</v>
      </c>
      <c r="T68" s="126">
        <f t="shared" si="3"/>
        <v>0.38148892470445805</v>
      </c>
      <c r="U68" s="100"/>
      <c r="V68" s="98"/>
      <c r="W68" s="98"/>
      <c r="X68" s="98"/>
      <c r="Y68" s="98"/>
    </row>
    <row r="69" spans="2:25" s="4" customFormat="1" ht="15.75" x14ac:dyDescent="0.25">
      <c r="B69" s="95">
        <f t="shared" si="6"/>
        <v>65</v>
      </c>
      <c r="C69" s="95" t="s">
        <v>66</v>
      </c>
      <c r="D69" s="95" t="s">
        <v>179</v>
      </c>
      <c r="E69" s="96" t="s">
        <v>114</v>
      </c>
      <c r="F69" s="96">
        <v>45341</v>
      </c>
      <c r="G69" s="95" t="s">
        <v>180</v>
      </c>
      <c r="H69" s="115" t="s">
        <v>138</v>
      </c>
      <c r="I69" s="112">
        <v>10436.77</v>
      </c>
      <c r="J69" s="112">
        <v>5556.04</v>
      </c>
      <c r="K69" s="113">
        <f t="shared" si="4"/>
        <v>0.46764755762558724</v>
      </c>
      <c r="L69" s="112">
        <v>285.62</v>
      </c>
      <c r="M69" s="113">
        <f t="shared" si="5"/>
        <v>2.7366704449748341E-2</v>
      </c>
      <c r="N69" s="112">
        <v>-1825.13</v>
      </c>
      <c r="O69" s="112">
        <v>0</v>
      </c>
      <c r="P69" s="116">
        <f>495+2000+406</f>
        <v>2901</v>
      </c>
      <c r="Q69" s="126">
        <f t="shared" ref="Q69:Q129" si="7">IF(P69,P69/I69,"")</f>
        <v>0.27795956028541396</v>
      </c>
      <c r="R69" s="114">
        <f t="shared" ref="R69:R129" si="8">J69-P69</f>
        <v>2655.04</v>
      </c>
      <c r="S69" s="126">
        <f t="shared" ref="S69:S129" si="9">IF(R69,R69/I69,"")</f>
        <v>0.2543928820889988</v>
      </c>
      <c r="T69" s="126">
        <f t="shared" ref="T69:T129" si="10">IF(L69,K69-M69,"")</f>
        <v>0.44028085317583887</v>
      </c>
      <c r="U69" s="100"/>
      <c r="V69" s="98"/>
      <c r="W69" s="98"/>
      <c r="X69" s="98"/>
      <c r="Y69" s="98"/>
    </row>
    <row r="70" spans="2:25" s="4" customFormat="1" ht="15.75" x14ac:dyDescent="0.25">
      <c r="B70" s="95">
        <f t="shared" si="6"/>
        <v>66</v>
      </c>
      <c r="C70" s="95" t="s">
        <v>64</v>
      </c>
      <c r="D70" s="95" t="s">
        <v>141</v>
      </c>
      <c r="E70" s="96" t="s">
        <v>114</v>
      </c>
      <c r="F70" s="96">
        <v>45433</v>
      </c>
      <c r="G70" s="95" t="s">
        <v>181</v>
      </c>
      <c r="H70" s="115" t="s">
        <v>15</v>
      </c>
      <c r="I70" s="112">
        <v>8000</v>
      </c>
      <c r="J70" s="112">
        <v>4029.22</v>
      </c>
      <c r="K70" s="113">
        <f t="shared" ref="K70:K132" si="11">IF(J70,(I70-J70)/I70,"")</f>
        <v>0.49634750000000005</v>
      </c>
      <c r="L70" s="112">
        <v>427.76</v>
      </c>
      <c r="M70" s="113">
        <f t="shared" ref="M70:M132" si="12">IF(J70,L70/I70,"")</f>
        <v>5.3469999999999997E-2</v>
      </c>
      <c r="N70" s="112">
        <v>-860.6</v>
      </c>
      <c r="O70" s="112">
        <v>0</v>
      </c>
      <c r="P70" s="116">
        <v>1306</v>
      </c>
      <c r="Q70" s="126">
        <f t="shared" si="7"/>
        <v>0.16325000000000001</v>
      </c>
      <c r="R70" s="114">
        <f t="shared" si="8"/>
        <v>2723.22</v>
      </c>
      <c r="S70" s="126">
        <f t="shared" si="9"/>
        <v>0.3404025</v>
      </c>
      <c r="T70" s="126">
        <f t="shared" si="10"/>
        <v>0.44287750000000004</v>
      </c>
      <c r="U70" s="100"/>
      <c r="V70" s="98"/>
      <c r="W70" s="98"/>
      <c r="X70" s="98"/>
      <c r="Y70" s="98"/>
    </row>
    <row r="71" spans="2:25" s="4" customFormat="1" ht="15.75" x14ac:dyDescent="0.25">
      <c r="B71" s="95">
        <f t="shared" ref="B71:B133" si="13">B70+1</f>
        <v>67</v>
      </c>
      <c r="C71" s="95" t="s">
        <v>64</v>
      </c>
      <c r="D71" s="95" t="s">
        <v>62</v>
      </c>
      <c r="E71" s="96" t="s">
        <v>114</v>
      </c>
      <c r="F71" s="96">
        <v>45411</v>
      </c>
      <c r="G71" s="95" t="s">
        <v>187</v>
      </c>
      <c r="H71" s="115" t="s">
        <v>16</v>
      </c>
      <c r="I71" s="112">
        <v>18583.04</v>
      </c>
      <c r="J71" s="112">
        <v>7878.5</v>
      </c>
      <c r="K71" s="113">
        <f t="shared" si="11"/>
        <v>0.57603815091610422</v>
      </c>
      <c r="L71" s="112">
        <v>2460.64</v>
      </c>
      <c r="M71" s="113">
        <f t="shared" si="12"/>
        <v>0.13241321118611377</v>
      </c>
      <c r="N71" s="112">
        <v>1628.34</v>
      </c>
      <c r="O71" s="112">
        <v>0</v>
      </c>
      <c r="P71" s="116">
        <f>800+865</f>
        <v>1665</v>
      </c>
      <c r="Q71" s="126">
        <f t="shared" si="7"/>
        <v>8.9597826835652289E-2</v>
      </c>
      <c r="R71" s="114">
        <f t="shared" si="8"/>
        <v>6213.5</v>
      </c>
      <c r="S71" s="126">
        <f t="shared" si="9"/>
        <v>0.33436402224824352</v>
      </c>
      <c r="T71" s="126">
        <f t="shared" si="10"/>
        <v>0.44362493972999045</v>
      </c>
      <c r="U71" s="100"/>
      <c r="V71" s="98"/>
      <c r="W71" s="98"/>
      <c r="X71" s="98"/>
      <c r="Y71" s="98"/>
    </row>
    <row r="72" spans="2:25" s="4" customFormat="1" ht="15.75" x14ac:dyDescent="0.25">
      <c r="B72" s="95">
        <f t="shared" si="13"/>
        <v>68</v>
      </c>
      <c r="C72" s="95" t="s">
        <v>64</v>
      </c>
      <c r="D72" s="95" t="s">
        <v>174</v>
      </c>
      <c r="E72" s="96" t="s">
        <v>105</v>
      </c>
      <c r="F72" s="96">
        <v>45479</v>
      </c>
      <c r="G72" s="95" t="s">
        <v>182</v>
      </c>
      <c r="H72" s="115" t="s">
        <v>15</v>
      </c>
      <c r="I72" s="112">
        <v>11568.87</v>
      </c>
      <c r="J72" s="112">
        <f>4431.04+165</f>
        <v>4596.04</v>
      </c>
      <c r="K72" s="113">
        <f t="shared" si="11"/>
        <v>0.60272351577984717</v>
      </c>
      <c r="L72" s="112">
        <v>1363.24</v>
      </c>
      <c r="M72" s="113">
        <f t="shared" si="12"/>
        <v>0.11783691924967607</v>
      </c>
      <c r="N72" s="112">
        <v>585.87</v>
      </c>
      <c r="O72" s="112">
        <v>0</v>
      </c>
      <c r="P72" s="116">
        <v>1231</v>
      </c>
      <c r="Q72" s="126">
        <f t="shared" si="7"/>
        <v>0.10640624365214579</v>
      </c>
      <c r="R72" s="114">
        <f t="shared" si="8"/>
        <v>3365.04</v>
      </c>
      <c r="S72" s="126">
        <f t="shared" si="9"/>
        <v>0.29087024056800703</v>
      </c>
      <c r="T72" s="126">
        <f t="shared" si="10"/>
        <v>0.48488659653017108</v>
      </c>
      <c r="U72" s="100"/>
      <c r="V72" s="98"/>
      <c r="W72" s="98"/>
      <c r="X72" s="98"/>
      <c r="Y72" s="98"/>
    </row>
    <row r="73" spans="2:25" s="4" customFormat="1" ht="15.75" x14ac:dyDescent="0.25">
      <c r="B73" s="95">
        <f t="shared" si="13"/>
        <v>69</v>
      </c>
      <c r="C73" s="95" t="s">
        <v>183</v>
      </c>
      <c r="D73" s="95" t="s">
        <v>61</v>
      </c>
      <c r="E73" s="96" t="s">
        <v>114</v>
      </c>
      <c r="F73" s="96">
        <v>45300</v>
      </c>
      <c r="G73" s="95" t="s">
        <v>184</v>
      </c>
      <c r="H73" s="115" t="s">
        <v>138</v>
      </c>
      <c r="I73" s="112">
        <v>15534.09</v>
      </c>
      <c r="J73" s="112">
        <v>6047.4</v>
      </c>
      <c r="K73" s="113">
        <f t="shared" si="11"/>
        <v>0.61070136712224532</v>
      </c>
      <c r="L73" s="112">
        <v>2391.0500000000002</v>
      </c>
      <c r="M73" s="113">
        <f t="shared" si="12"/>
        <v>0.15392275955656237</v>
      </c>
      <c r="N73" s="112">
        <v>2164.09</v>
      </c>
      <c r="O73" s="112">
        <v>0</v>
      </c>
      <c r="P73" s="116">
        <f>1839+120</f>
        <v>1959</v>
      </c>
      <c r="Q73" s="126">
        <f t="shared" si="7"/>
        <v>0.12610973671454201</v>
      </c>
      <c r="R73" s="114">
        <f t="shared" si="8"/>
        <v>4088.3999999999996</v>
      </c>
      <c r="S73" s="126">
        <f t="shared" si="9"/>
        <v>0.26318889616321262</v>
      </c>
      <c r="T73" s="126">
        <f t="shared" si="10"/>
        <v>0.45677860756568295</v>
      </c>
      <c r="U73" s="100"/>
      <c r="V73" s="98"/>
      <c r="W73" s="98"/>
      <c r="X73" s="98"/>
      <c r="Y73" s="98"/>
    </row>
    <row r="74" spans="2:25" s="4" customFormat="1" ht="15.75" x14ac:dyDescent="0.25">
      <c r="B74" s="95">
        <f t="shared" si="13"/>
        <v>70</v>
      </c>
      <c r="C74" s="95" t="s">
        <v>160</v>
      </c>
      <c r="D74" s="95" t="s">
        <v>79</v>
      </c>
      <c r="E74" s="96" t="s">
        <v>60</v>
      </c>
      <c r="F74" s="96">
        <v>45331</v>
      </c>
      <c r="G74" s="95" t="s">
        <v>185</v>
      </c>
      <c r="H74" s="115" t="s">
        <v>29</v>
      </c>
      <c r="I74" s="112">
        <v>35771.15</v>
      </c>
      <c r="J74" s="112">
        <v>20684.419999999998</v>
      </c>
      <c r="K74" s="113">
        <f t="shared" si="11"/>
        <v>0.42175691863415077</v>
      </c>
      <c r="L74" s="112">
        <v>3763.35</v>
      </c>
      <c r="M74" s="113">
        <f t="shared" si="12"/>
        <v>0.10520629054419553</v>
      </c>
      <c r="N74" s="112">
        <v>1244.3499999999999</v>
      </c>
      <c r="O74" s="112">
        <v>0</v>
      </c>
      <c r="P74" s="116">
        <f>250+1412+1450</f>
        <v>3112</v>
      </c>
      <c r="Q74" s="126">
        <f t="shared" si="7"/>
        <v>8.6997482608191234E-2</v>
      </c>
      <c r="R74" s="114">
        <f t="shared" si="8"/>
        <v>17572.419999999998</v>
      </c>
      <c r="S74" s="126">
        <f t="shared" si="9"/>
        <v>0.491245598757658</v>
      </c>
      <c r="T74" s="126">
        <f t="shared" si="10"/>
        <v>0.31655062808995527</v>
      </c>
      <c r="U74" s="100"/>
      <c r="V74" s="98"/>
      <c r="W74" s="98"/>
      <c r="X74" s="98"/>
      <c r="Y74" s="98"/>
    </row>
    <row r="75" spans="2:25" s="4" customFormat="1" ht="15.75" x14ac:dyDescent="0.25">
      <c r="B75" s="95">
        <f t="shared" si="13"/>
        <v>71</v>
      </c>
      <c r="C75" s="95" t="s">
        <v>64</v>
      </c>
      <c r="D75" s="95" t="s">
        <v>61</v>
      </c>
      <c r="E75" s="96" t="s">
        <v>114</v>
      </c>
      <c r="F75" s="96">
        <v>45346</v>
      </c>
      <c r="G75" s="95" t="s">
        <v>186</v>
      </c>
      <c r="H75" s="115" t="s">
        <v>15</v>
      </c>
      <c r="I75" s="112">
        <v>54742.5</v>
      </c>
      <c r="J75" s="112">
        <v>32968.33</v>
      </c>
      <c r="K75" s="113">
        <f t="shared" si="11"/>
        <v>0.39775622231355889</v>
      </c>
      <c r="L75" s="112">
        <v>2942.07</v>
      </c>
      <c r="M75" s="113">
        <f t="shared" si="12"/>
        <v>5.3743800520619264E-2</v>
      </c>
      <c r="N75" s="112">
        <v>-16050.09</v>
      </c>
      <c r="O75" s="112">
        <v>3915.85</v>
      </c>
      <c r="P75" s="116">
        <f>2000+2900+3000+2800+3300+2900+1000+750+754</f>
        <v>19404</v>
      </c>
      <c r="Q75" s="126">
        <f t="shared" si="7"/>
        <v>0.35445951500205508</v>
      </c>
      <c r="R75" s="114">
        <f t="shared" si="8"/>
        <v>13564.330000000002</v>
      </c>
      <c r="S75" s="126">
        <f t="shared" si="9"/>
        <v>0.24778426268438603</v>
      </c>
      <c r="T75" s="126">
        <f t="shared" si="10"/>
        <v>0.34401242179293962</v>
      </c>
      <c r="U75" s="100"/>
      <c r="V75" s="98"/>
      <c r="W75" s="98"/>
      <c r="X75" s="98"/>
      <c r="Y75" s="98"/>
    </row>
    <row r="76" spans="2:25" s="4" customFormat="1" ht="15.75" x14ac:dyDescent="0.25">
      <c r="B76" s="95">
        <f t="shared" si="13"/>
        <v>72</v>
      </c>
      <c r="C76" s="95" t="s">
        <v>64</v>
      </c>
      <c r="D76" s="95" t="s">
        <v>133</v>
      </c>
      <c r="E76" s="96" t="s">
        <v>188</v>
      </c>
      <c r="F76" s="96">
        <v>45455</v>
      </c>
      <c r="G76" s="95" t="s">
        <v>189</v>
      </c>
      <c r="H76" s="115" t="s">
        <v>18</v>
      </c>
      <c r="I76" s="112">
        <v>11146.85</v>
      </c>
      <c r="J76" s="112">
        <v>4786.0600000000004</v>
      </c>
      <c r="K76" s="113">
        <f t="shared" si="11"/>
        <v>0.57063565043039066</v>
      </c>
      <c r="L76" s="112">
        <v>1429.05</v>
      </c>
      <c r="M76" s="113">
        <f t="shared" si="12"/>
        <v>0.12820213782369008</v>
      </c>
      <c r="N76" s="112">
        <v>1153.42</v>
      </c>
      <c r="O76" s="112">
        <v>0</v>
      </c>
      <c r="P76" s="116">
        <v>1240</v>
      </c>
      <c r="Q76" s="126">
        <f t="shared" si="7"/>
        <v>0.11124218949748135</v>
      </c>
      <c r="R76" s="114">
        <f t="shared" si="8"/>
        <v>3546.0600000000004</v>
      </c>
      <c r="S76" s="126">
        <f t="shared" si="9"/>
        <v>0.31812216007212801</v>
      </c>
      <c r="T76" s="126">
        <f t="shared" si="10"/>
        <v>0.44243351260670061</v>
      </c>
      <c r="U76" s="100"/>
      <c r="V76" s="98"/>
      <c r="W76" s="98"/>
      <c r="X76" s="98"/>
      <c r="Y76" s="98"/>
    </row>
    <row r="77" spans="2:25" s="4" customFormat="1" ht="15.75" x14ac:dyDescent="0.25">
      <c r="B77" s="95">
        <f t="shared" si="13"/>
        <v>73</v>
      </c>
      <c r="C77" s="95" t="s">
        <v>64</v>
      </c>
      <c r="D77" s="95" t="s">
        <v>133</v>
      </c>
      <c r="E77" s="96" t="s">
        <v>60</v>
      </c>
      <c r="F77" s="96">
        <v>45412</v>
      </c>
      <c r="G77" s="95" t="s">
        <v>190</v>
      </c>
      <c r="H77" s="115" t="s">
        <v>19</v>
      </c>
      <c r="I77" s="112">
        <v>26975.15</v>
      </c>
      <c r="J77" s="112">
        <f>8192.72+800</f>
        <v>8992.7199999999993</v>
      </c>
      <c r="K77" s="113">
        <f t="shared" si="11"/>
        <v>0.66662947193991506</v>
      </c>
      <c r="L77" s="112">
        <v>3329.73</v>
      </c>
      <c r="M77" s="113">
        <f t="shared" si="12"/>
        <v>0.12343694103647244</v>
      </c>
      <c r="N77" s="112">
        <v>2741.71</v>
      </c>
      <c r="O77" s="112">
        <v>0</v>
      </c>
      <c r="P77" s="116">
        <f>925+1018+850</f>
        <v>2793</v>
      </c>
      <c r="Q77" s="126">
        <f t="shared" si="7"/>
        <v>0.10353973935270054</v>
      </c>
      <c r="R77" s="114">
        <f t="shared" si="8"/>
        <v>6199.7199999999993</v>
      </c>
      <c r="S77" s="126">
        <f t="shared" si="9"/>
        <v>0.22983078870738435</v>
      </c>
      <c r="T77" s="126">
        <f t="shared" si="10"/>
        <v>0.54319253090344266</v>
      </c>
      <c r="U77" s="100"/>
      <c r="V77" s="98"/>
      <c r="W77" s="98"/>
      <c r="X77" s="98"/>
      <c r="Y77" s="98"/>
    </row>
    <row r="78" spans="2:25" s="4" customFormat="1" ht="15.75" x14ac:dyDescent="0.25">
      <c r="B78" s="95">
        <f t="shared" si="13"/>
        <v>74</v>
      </c>
      <c r="C78" s="95" t="s">
        <v>64</v>
      </c>
      <c r="D78" s="95" t="s">
        <v>133</v>
      </c>
      <c r="E78" s="96" t="s">
        <v>60</v>
      </c>
      <c r="F78" s="96">
        <v>45415</v>
      </c>
      <c r="G78" s="95" t="s">
        <v>191</v>
      </c>
      <c r="H78" s="115" t="s">
        <v>17</v>
      </c>
      <c r="I78" s="112">
        <v>10903</v>
      </c>
      <c r="J78" s="112">
        <v>6025.46</v>
      </c>
      <c r="K78" s="113">
        <f t="shared" si="11"/>
        <v>0.44735760799779878</v>
      </c>
      <c r="L78" s="112">
        <v>1438.85</v>
      </c>
      <c r="M78" s="113">
        <f t="shared" si="12"/>
        <v>0.13196826561496836</v>
      </c>
      <c r="N78" s="112">
        <v>1530</v>
      </c>
      <c r="O78" s="112">
        <v>0</v>
      </c>
      <c r="P78" s="116">
        <f>900+911</f>
        <v>1811</v>
      </c>
      <c r="Q78" s="126">
        <f t="shared" si="7"/>
        <v>0.16610107309914701</v>
      </c>
      <c r="R78" s="114">
        <f t="shared" si="8"/>
        <v>4214.46</v>
      </c>
      <c r="S78" s="126">
        <f t="shared" si="9"/>
        <v>0.38654131890305421</v>
      </c>
      <c r="T78" s="126">
        <f t="shared" si="10"/>
        <v>0.31538934238283045</v>
      </c>
      <c r="U78" s="100"/>
      <c r="V78" s="98"/>
      <c r="W78" s="98"/>
      <c r="X78" s="98"/>
      <c r="Y78" s="98"/>
    </row>
    <row r="79" spans="2:25" s="4" customFormat="1" ht="15.75" x14ac:dyDescent="0.25">
      <c r="B79" s="95">
        <f t="shared" si="13"/>
        <v>75</v>
      </c>
      <c r="C79" s="95" t="s">
        <v>73</v>
      </c>
      <c r="D79" s="95" t="s">
        <v>79</v>
      </c>
      <c r="E79" s="96" t="s">
        <v>60</v>
      </c>
      <c r="F79" s="96">
        <v>45329</v>
      </c>
      <c r="G79" s="95" t="s">
        <v>192</v>
      </c>
      <c r="H79" s="115" t="s">
        <v>29</v>
      </c>
      <c r="I79" s="112">
        <v>32256.01</v>
      </c>
      <c r="J79" s="112">
        <v>16582.79</v>
      </c>
      <c r="K79" s="113">
        <f t="shared" si="11"/>
        <v>0.48590076701985147</v>
      </c>
      <c r="L79" s="112">
        <v>2863.3</v>
      </c>
      <c r="M79" s="113">
        <f t="shared" si="12"/>
        <v>8.8767953630966762E-2</v>
      </c>
      <c r="N79" s="112">
        <v>-306.99</v>
      </c>
      <c r="O79" s="112">
        <v>0</v>
      </c>
      <c r="P79" s="116">
        <f>1020</f>
        <v>1020</v>
      </c>
      <c r="Q79" s="126">
        <f t="shared" si="7"/>
        <v>3.1622014006072049E-2</v>
      </c>
      <c r="R79" s="114">
        <f t="shared" si="8"/>
        <v>15562.79</v>
      </c>
      <c r="S79" s="126">
        <f t="shared" si="9"/>
        <v>0.48247721897407653</v>
      </c>
      <c r="T79" s="126">
        <f t="shared" si="10"/>
        <v>0.39713281338888473</v>
      </c>
      <c r="U79" s="100"/>
      <c r="V79" s="98"/>
      <c r="W79" s="98"/>
      <c r="X79" s="98"/>
      <c r="Y79" s="98"/>
    </row>
    <row r="80" spans="2:25" s="4" customFormat="1" ht="15.75" x14ac:dyDescent="0.25">
      <c r="B80" s="95">
        <f t="shared" si="13"/>
        <v>76</v>
      </c>
      <c r="C80" s="95" t="s">
        <v>64</v>
      </c>
      <c r="D80" s="95" t="s">
        <v>174</v>
      </c>
      <c r="E80" s="96" t="s">
        <v>114</v>
      </c>
      <c r="F80" s="96">
        <v>45444</v>
      </c>
      <c r="G80" s="95" t="s">
        <v>193</v>
      </c>
      <c r="H80" s="115" t="s">
        <v>15</v>
      </c>
      <c r="I80" s="112">
        <v>10420.44</v>
      </c>
      <c r="J80" s="112">
        <v>3120.05</v>
      </c>
      <c r="K80" s="113">
        <f t="shared" si="11"/>
        <v>0.70058366057479338</v>
      </c>
      <c r="L80" s="112">
        <v>1454.02</v>
      </c>
      <c r="M80" s="113">
        <f t="shared" si="12"/>
        <v>0.13953537470586655</v>
      </c>
      <c r="N80" s="112">
        <v>1099.94</v>
      </c>
      <c r="O80" s="112">
        <v>0</v>
      </c>
      <c r="P80" s="116">
        <f>1146</f>
        <v>1146</v>
      </c>
      <c r="Q80" s="126">
        <f t="shared" si="7"/>
        <v>0.10997616223499199</v>
      </c>
      <c r="R80" s="114">
        <f t="shared" si="8"/>
        <v>1974.0500000000002</v>
      </c>
      <c r="S80" s="126">
        <f t="shared" si="9"/>
        <v>0.18944017719021464</v>
      </c>
      <c r="T80" s="126">
        <f t="shared" si="10"/>
        <v>0.56104828586892685</v>
      </c>
      <c r="U80" s="100"/>
      <c r="V80" s="98"/>
      <c r="W80" s="98"/>
      <c r="X80" s="98"/>
      <c r="Y80" s="98"/>
    </row>
    <row r="81" spans="2:25" s="4" customFormat="1" ht="15.75" x14ac:dyDescent="0.25">
      <c r="B81" s="95">
        <f t="shared" si="13"/>
        <v>77</v>
      </c>
      <c r="C81" s="95" t="s">
        <v>64</v>
      </c>
      <c r="D81" s="95" t="s">
        <v>174</v>
      </c>
      <c r="E81" s="96" t="s">
        <v>105</v>
      </c>
      <c r="F81" s="96">
        <v>45446</v>
      </c>
      <c r="G81" s="95" t="s">
        <v>194</v>
      </c>
      <c r="H81" s="115" t="s">
        <v>15</v>
      </c>
      <c r="I81" s="112">
        <v>14716.24</v>
      </c>
      <c r="J81" s="112">
        <v>5525.75</v>
      </c>
      <c r="K81" s="113">
        <f t="shared" si="11"/>
        <v>0.6245134626779667</v>
      </c>
      <c r="L81" s="112">
        <v>2076.1999999999998</v>
      </c>
      <c r="M81" s="113">
        <f t="shared" si="12"/>
        <v>0.14108223296168043</v>
      </c>
      <c r="N81" s="112">
        <v>1581.44</v>
      </c>
      <c r="O81" s="112">
        <v>0</v>
      </c>
      <c r="P81" s="116">
        <v>2317</v>
      </c>
      <c r="Q81" s="126">
        <f t="shared" si="7"/>
        <v>0.15744510826134936</v>
      </c>
      <c r="R81" s="114">
        <f t="shared" si="8"/>
        <v>3208.75</v>
      </c>
      <c r="S81" s="126">
        <f t="shared" si="9"/>
        <v>0.21804142906068399</v>
      </c>
      <c r="T81" s="126">
        <f t="shared" si="10"/>
        <v>0.48343122971628627</v>
      </c>
      <c r="U81" s="100"/>
      <c r="V81" s="98"/>
      <c r="W81" s="98"/>
      <c r="X81" s="98"/>
      <c r="Y81" s="98"/>
    </row>
    <row r="82" spans="2:25" s="4" customFormat="1" ht="15.75" x14ac:dyDescent="0.25">
      <c r="B82" s="95">
        <f t="shared" si="13"/>
        <v>78</v>
      </c>
      <c r="C82" s="95" t="s">
        <v>64</v>
      </c>
      <c r="D82" s="95" t="s">
        <v>79</v>
      </c>
      <c r="E82" s="96" t="s">
        <v>60</v>
      </c>
      <c r="F82" s="96">
        <v>45342</v>
      </c>
      <c r="G82" s="95" t="s">
        <v>195</v>
      </c>
      <c r="H82" s="115" t="s">
        <v>24</v>
      </c>
      <c r="I82" s="112">
        <v>10913.53</v>
      </c>
      <c r="J82" s="112">
        <v>5721.61</v>
      </c>
      <c r="K82" s="113">
        <f t="shared" si="11"/>
        <v>0.47573241655083193</v>
      </c>
      <c r="L82" s="112">
        <v>761.16</v>
      </c>
      <c r="M82" s="113">
        <f t="shared" si="12"/>
        <v>6.9744619751812648E-2</v>
      </c>
      <c r="N82" s="112">
        <v>-272.47000000000003</v>
      </c>
      <c r="O82" s="112">
        <v>0</v>
      </c>
      <c r="P82" s="116">
        <v>2168</v>
      </c>
      <c r="Q82" s="126">
        <f t="shared" si="7"/>
        <v>0.19865249832089157</v>
      </c>
      <c r="R82" s="114">
        <f t="shared" si="8"/>
        <v>3553.6099999999997</v>
      </c>
      <c r="S82" s="126">
        <f t="shared" si="9"/>
        <v>0.32561508512827653</v>
      </c>
      <c r="T82" s="126">
        <f t="shared" si="10"/>
        <v>0.40598779679901931</v>
      </c>
      <c r="U82" s="100"/>
      <c r="V82" s="98"/>
      <c r="W82" s="98"/>
      <c r="X82" s="98"/>
      <c r="Y82" s="98"/>
    </row>
    <row r="83" spans="2:25" s="4" customFormat="1" ht="15.75" x14ac:dyDescent="0.25">
      <c r="B83" s="95">
        <f t="shared" si="13"/>
        <v>79</v>
      </c>
      <c r="C83" s="95" t="s">
        <v>64</v>
      </c>
      <c r="D83" s="95" t="s">
        <v>79</v>
      </c>
      <c r="E83" s="96" t="s">
        <v>60</v>
      </c>
      <c r="F83" s="96">
        <v>45302</v>
      </c>
      <c r="G83" s="95" t="s">
        <v>196</v>
      </c>
      <c r="H83" s="115" t="s">
        <v>22</v>
      </c>
      <c r="I83" s="112">
        <v>17673.560000000001</v>
      </c>
      <c r="J83" s="112">
        <v>9310.83</v>
      </c>
      <c r="K83" s="113">
        <f t="shared" si="11"/>
        <v>0.47317744698860903</v>
      </c>
      <c r="L83" s="112">
        <v>2202.7399999999998</v>
      </c>
      <c r="M83" s="113">
        <f t="shared" si="12"/>
        <v>0.12463476515201237</v>
      </c>
      <c r="N83" s="112">
        <v>1952.96</v>
      </c>
      <c r="O83" s="112">
        <v>0</v>
      </c>
      <c r="P83" s="116">
        <v>2780</v>
      </c>
      <c r="Q83" s="126">
        <f t="shared" si="7"/>
        <v>0.15729711501248192</v>
      </c>
      <c r="R83" s="114">
        <f t="shared" si="8"/>
        <v>6530.83</v>
      </c>
      <c r="S83" s="126">
        <f t="shared" si="9"/>
        <v>0.36952543799890908</v>
      </c>
      <c r="T83" s="126">
        <f t="shared" si="10"/>
        <v>0.34854268183659665</v>
      </c>
      <c r="U83" s="100"/>
      <c r="V83" s="98"/>
      <c r="W83" s="98"/>
      <c r="X83" s="98"/>
      <c r="Y83" s="98"/>
    </row>
    <row r="84" spans="2:25" s="4" customFormat="1" ht="15.75" x14ac:dyDescent="0.25">
      <c r="B84" s="95">
        <f t="shared" si="13"/>
        <v>80</v>
      </c>
      <c r="C84" s="95" t="s">
        <v>64</v>
      </c>
      <c r="D84" s="95" t="s">
        <v>79</v>
      </c>
      <c r="E84" s="96" t="s">
        <v>60</v>
      </c>
      <c r="F84" s="96">
        <v>45302</v>
      </c>
      <c r="G84" s="95" t="s">
        <v>196</v>
      </c>
      <c r="H84" s="115" t="s">
        <v>29</v>
      </c>
      <c r="I84" s="112">
        <v>59707.23</v>
      </c>
      <c r="J84" s="112">
        <v>27552.73</v>
      </c>
      <c r="K84" s="113">
        <f t="shared" si="11"/>
        <v>0.53853612033249576</v>
      </c>
      <c r="L84" s="112">
        <v>6220.54</v>
      </c>
      <c r="M84" s="113">
        <f t="shared" si="12"/>
        <v>0.10418403265400186</v>
      </c>
      <c r="N84" s="112">
        <v>1412.13</v>
      </c>
      <c r="O84" s="112">
        <v>0</v>
      </c>
      <c r="P84" s="116">
        <f>2310.36+148.48+270+1616+1450+300</f>
        <v>6094.84</v>
      </c>
      <c r="Q84" s="126">
        <f t="shared" si="7"/>
        <v>0.10207875997596941</v>
      </c>
      <c r="R84" s="114">
        <f t="shared" si="8"/>
        <v>21457.89</v>
      </c>
      <c r="S84" s="126">
        <f t="shared" si="9"/>
        <v>0.3593851196915348</v>
      </c>
      <c r="T84" s="126">
        <f t="shared" si="10"/>
        <v>0.43435208767849387</v>
      </c>
      <c r="U84" s="100"/>
      <c r="V84" s="98"/>
      <c r="W84" s="98"/>
      <c r="X84" s="98"/>
      <c r="Y84" s="98"/>
    </row>
    <row r="85" spans="2:25" s="4" customFormat="1" ht="15.75" x14ac:dyDescent="0.25">
      <c r="B85" s="95">
        <f t="shared" si="13"/>
        <v>81</v>
      </c>
      <c r="C85" s="95" t="s">
        <v>64</v>
      </c>
      <c r="D85" s="95" t="s">
        <v>79</v>
      </c>
      <c r="E85" s="96" t="s">
        <v>60</v>
      </c>
      <c r="F85" s="96">
        <v>45462</v>
      </c>
      <c r="G85" s="95" t="s">
        <v>197</v>
      </c>
      <c r="H85" s="115" t="s">
        <v>24</v>
      </c>
      <c r="I85" s="112">
        <v>16121.47</v>
      </c>
      <c r="J85" s="112">
        <v>7860.76</v>
      </c>
      <c r="K85" s="113">
        <f t="shared" si="11"/>
        <v>0.51240426586409304</v>
      </c>
      <c r="L85" s="112">
        <v>2421.25</v>
      </c>
      <c r="M85" s="113">
        <f t="shared" si="12"/>
        <v>0.1501879171068147</v>
      </c>
      <c r="N85" s="112">
        <v>2127.77</v>
      </c>
      <c r="O85" s="112">
        <v>0</v>
      </c>
      <c r="P85" s="116">
        <v>2000</v>
      </c>
      <c r="Q85" s="126">
        <f t="shared" si="7"/>
        <v>0.12405816591166935</v>
      </c>
      <c r="R85" s="114">
        <f t="shared" si="8"/>
        <v>5860.76</v>
      </c>
      <c r="S85" s="126">
        <f t="shared" si="9"/>
        <v>0.36353756822423766</v>
      </c>
      <c r="T85" s="126">
        <f t="shared" si="10"/>
        <v>0.36221634875727837</v>
      </c>
      <c r="U85" s="100"/>
      <c r="V85" s="98"/>
      <c r="W85" s="98"/>
      <c r="X85" s="98"/>
      <c r="Y85" s="98"/>
    </row>
    <row r="86" spans="2:25" s="4" customFormat="1" ht="15.75" x14ac:dyDescent="0.25">
      <c r="B86" s="95">
        <f t="shared" si="13"/>
        <v>82</v>
      </c>
      <c r="C86" s="95" t="s">
        <v>66</v>
      </c>
      <c r="D86" s="95" t="s">
        <v>79</v>
      </c>
      <c r="E86" s="96" t="s">
        <v>60</v>
      </c>
      <c r="F86" s="96">
        <v>45393</v>
      </c>
      <c r="G86" s="95" t="s">
        <v>198</v>
      </c>
      <c r="H86" s="115" t="s">
        <v>29</v>
      </c>
      <c r="I86" s="112">
        <v>46964.480000000003</v>
      </c>
      <c r="J86" s="112">
        <v>25183.21</v>
      </c>
      <c r="K86" s="113">
        <f t="shared" si="11"/>
        <v>0.46378177720694452</v>
      </c>
      <c r="L86" s="112">
        <v>4646.08</v>
      </c>
      <c r="M86" s="113">
        <f t="shared" si="12"/>
        <v>9.8927529911967502E-2</v>
      </c>
      <c r="N86" s="112">
        <v>1029.08</v>
      </c>
      <c r="O86" s="112">
        <v>0</v>
      </c>
      <c r="P86" s="116">
        <f>180+1432+135+2380</f>
        <v>4127</v>
      </c>
      <c r="Q86" s="126">
        <f t="shared" si="7"/>
        <v>8.7874921642909706E-2</v>
      </c>
      <c r="R86" s="114">
        <f t="shared" si="8"/>
        <v>21056.21</v>
      </c>
      <c r="S86" s="126">
        <f t="shared" si="9"/>
        <v>0.44834330115014576</v>
      </c>
      <c r="T86" s="126">
        <f t="shared" si="10"/>
        <v>0.36485424729497701</v>
      </c>
      <c r="U86" s="100"/>
      <c r="V86" s="98"/>
      <c r="W86" s="98"/>
      <c r="X86" s="98"/>
      <c r="Y86" s="98"/>
    </row>
    <row r="87" spans="2:25" s="4" customFormat="1" ht="15.75" x14ac:dyDescent="0.25">
      <c r="B87" s="95">
        <f t="shared" si="13"/>
        <v>83</v>
      </c>
      <c r="C87" s="95" t="s">
        <v>64</v>
      </c>
      <c r="D87" s="95" t="s">
        <v>79</v>
      </c>
      <c r="E87" s="96" t="s">
        <v>60</v>
      </c>
      <c r="F87" s="96">
        <v>45394</v>
      </c>
      <c r="G87" s="95" t="s">
        <v>199</v>
      </c>
      <c r="H87" s="115" t="s">
        <v>29</v>
      </c>
      <c r="I87" s="112">
        <v>50179.9</v>
      </c>
      <c r="J87" s="112">
        <v>26048.58</v>
      </c>
      <c r="K87" s="113">
        <f t="shared" si="11"/>
        <v>0.4808961357037379</v>
      </c>
      <c r="L87" s="112">
        <v>4911.59</v>
      </c>
      <c r="M87" s="113">
        <f t="shared" si="12"/>
        <v>9.7879629094517931E-2</v>
      </c>
      <c r="N87" s="112">
        <v>2248.4499999999998</v>
      </c>
      <c r="O87" s="112">
        <v>0</v>
      </c>
      <c r="P87" s="116">
        <f>1397.6+5567+1975</f>
        <v>8939.6</v>
      </c>
      <c r="Q87" s="126">
        <f t="shared" si="7"/>
        <v>0.17815101265646205</v>
      </c>
      <c r="R87" s="114">
        <f t="shared" si="8"/>
        <v>17108.980000000003</v>
      </c>
      <c r="S87" s="126">
        <f t="shared" si="9"/>
        <v>0.34095285163980005</v>
      </c>
      <c r="T87" s="126">
        <f t="shared" si="10"/>
        <v>0.38301650660921999</v>
      </c>
      <c r="U87" s="100"/>
      <c r="V87" s="98"/>
      <c r="W87" s="98"/>
      <c r="X87" s="98"/>
      <c r="Y87" s="98"/>
    </row>
    <row r="88" spans="2:25" s="4" customFormat="1" ht="15.75" x14ac:dyDescent="0.25">
      <c r="B88" s="95">
        <f t="shared" si="13"/>
        <v>84</v>
      </c>
      <c r="C88" s="95" t="s">
        <v>64</v>
      </c>
      <c r="D88" s="95" t="s">
        <v>79</v>
      </c>
      <c r="E88" s="96" t="s">
        <v>60</v>
      </c>
      <c r="F88" s="96">
        <v>45472</v>
      </c>
      <c r="G88" s="95" t="s">
        <v>200</v>
      </c>
      <c r="H88" s="115" t="s">
        <v>17</v>
      </c>
      <c r="I88" s="112">
        <v>8030.69</v>
      </c>
      <c r="J88" s="112">
        <v>3834.09</v>
      </c>
      <c r="K88" s="113">
        <f t="shared" si="11"/>
        <v>0.52257028972603847</v>
      </c>
      <c r="L88" s="112">
        <v>710.00800000000004</v>
      </c>
      <c r="M88" s="113">
        <f t="shared" si="12"/>
        <v>8.841183011671476E-2</v>
      </c>
      <c r="N88" s="112">
        <v>234.09</v>
      </c>
      <c r="O88" s="112">
        <v>0</v>
      </c>
      <c r="P88" s="116">
        <v>984</v>
      </c>
      <c r="Q88" s="126">
        <f t="shared" si="7"/>
        <v>0.12252994450041031</v>
      </c>
      <c r="R88" s="114">
        <f t="shared" si="8"/>
        <v>2850.09</v>
      </c>
      <c r="S88" s="126">
        <f t="shared" si="9"/>
        <v>0.35489976577355126</v>
      </c>
      <c r="T88" s="126">
        <f t="shared" si="10"/>
        <v>0.4341584596093237</v>
      </c>
      <c r="U88" s="100"/>
      <c r="V88" s="98"/>
      <c r="W88" s="98"/>
      <c r="X88" s="98"/>
      <c r="Y88" s="98"/>
    </row>
    <row r="89" spans="2:25" s="4" customFormat="1" ht="15.75" x14ac:dyDescent="0.25">
      <c r="B89" s="95">
        <f t="shared" si="13"/>
        <v>85</v>
      </c>
      <c r="C89" s="95" t="s">
        <v>66</v>
      </c>
      <c r="D89" s="95" t="s">
        <v>133</v>
      </c>
      <c r="E89" s="96" t="s">
        <v>60</v>
      </c>
      <c r="F89" s="96">
        <v>45420</v>
      </c>
      <c r="G89" s="95" t="s">
        <v>97</v>
      </c>
      <c r="H89" s="115" t="s">
        <v>17</v>
      </c>
      <c r="I89" s="112">
        <v>19793.73</v>
      </c>
      <c r="J89" s="112">
        <v>7444.63</v>
      </c>
      <c r="K89" s="113">
        <f t="shared" si="11"/>
        <v>0.62388948419524759</v>
      </c>
      <c r="L89" s="112">
        <v>3461.9</v>
      </c>
      <c r="M89" s="113">
        <f t="shared" si="12"/>
        <v>0.17489881896944134</v>
      </c>
      <c r="N89" s="112">
        <v>4024.83</v>
      </c>
      <c r="O89" s="112">
        <v>0</v>
      </c>
      <c r="P89" s="116">
        <v>2042</v>
      </c>
      <c r="Q89" s="126">
        <f t="shared" si="7"/>
        <v>0.10316398172552621</v>
      </c>
      <c r="R89" s="114">
        <f t="shared" si="8"/>
        <v>5402.63</v>
      </c>
      <c r="S89" s="126">
        <f t="shared" si="9"/>
        <v>0.27294653407922609</v>
      </c>
      <c r="T89" s="126">
        <f t="shared" si="10"/>
        <v>0.44899066522580622</v>
      </c>
      <c r="U89" s="100"/>
      <c r="V89" s="98"/>
      <c r="W89" s="98"/>
      <c r="X89" s="98"/>
      <c r="Y89" s="98"/>
    </row>
    <row r="90" spans="2:25" s="4" customFormat="1" ht="15.75" x14ac:dyDescent="0.25">
      <c r="B90" s="95">
        <f t="shared" si="13"/>
        <v>86</v>
      </c>
      <c r="C90" s="95" t="s">
        <v>183</v>
      </c>
      <c r="D90" s="95" t="s">
        <v>79</v>
      </c>
      <c r="E90" s="96" t="s">
        <v>188</v>
      </c>
      <c r="F90" s="96">
        <v>45472</v>
      </c>
      <c r="G90" s="95" t="s">
        <v>201</v>
      </c>
      <c r="H90" s="115" t="s">
        <v>18</v>
      </c>
      <c r="I90" s="112">
        <v>60665.23</v>
      </c>
      <c r="J90" s="112">
        <v>22855.63</v>
      </c>
      <c r="K90" s="113">
        <f t="shared" si="11"/>
        <v>0.62324992421523839</v>
      </c>
      <c r="L90" s="112">
        <v>7464.06</v>
      </c>
      <c r="M90" s="113">
        <f t="shared" si="12"/>
        <v>0.12303686971927742</v>
      </c>
      <c r="N90" s="112">
        <v>4848.33</v>
      </c>
      <c r="O90" s="112">
        <v>0</v>
      </c>
      <c r="P90" s="116">
        <v>3745</v>
      </c>
      <c r="Q90" s="126">
        <f t="shared" si="7"/>
        <v>6.1732231131407557E-2</v>
      </c>
      <c r="R90" s="114">
        <f t="shared" si="8"/>
        <v>19110.63</v>
      </c>
      <c r="S90" s="126">
        <f t="shared" si="9"/>
        <v>0.31501784465335414</v>
      </c>
      <c r="T90" s="126">
        <f t="shared" si="10"/>
        <v>0.50021305449596098</v>
      </c>
      <c r="U90" s="100"/>
      <c r="V90" s="98"/>
      <c r="W90" s="98"/>
      <c r="X90" s="98"/>
      <c r="Y90" s="98"/>
    </row>
    <row r="91" spans="2:25" s="4" customFormat="1" ht="15.75" x14ac:dyDescent="0.25">
      <c r="B91" s="95">
        <f t="shared" si="13"/>
        <v>87</v>
      </c>
      <c r="C91" s="95" t="s">
        <v>64</v>
      </c>
      <c r="D91" s="95" t="s">
        <v>79</v>
      </c>
      <c r="E91" s="96" t="s">
        <v>202</v>
      </c>
      <c r="F91" s="96">
        <v>45492</v>
      </c>
      <c r="G91" s="95" t="s">
        <v>203</v>
      </c>
      <c r="H91" s="115" t="s">
        <v>24</v>
      </c>
      <c r="I91" s="112">
        <v>11626.31</v>
      </c>
      <c r="J91" s="112">
        <v>6073.33</v>
      </c>
      <c r="K91" s="113">
        <f t="shared" si="11"/>
        <v>0.47762187658853067</v>
      </c>
      <c r="L91" s="112">
        <v>1167.1199999999999</v>
      </c>
      <c r="M91" s="113">
        <f t="shared" si="12"/>
        <v>0.10038610702793921</v>
      </c>
      <c r="N91" s="112">
        <v>460.61</v>
      </c>
      <c r="O91" s="112">
        <v>0</v>
      </c>
      <c r="P91" s="116">
        <v>2018</v>
      </c>
      <c r="Q91" s="126">
        <f t="shared" si="7"/>
        <v>0.17357183835627987</v>
      </c>
      <c r="R91" s="114">
        <f t="shared" si="8"/>
        <v>4055.33</v>
      </c>
      <c r="S91" s="126">
        <f t="shared" si="9"/>
        <v>0.34880628505518951</v>
      </c>
      <c r="T91" s="126">
        <f>IF(L91,K91-M91,"")</f>
        <v>0.37723576956059146</v>
      </c>
      <c r="U91" s="100"/>
      <c r="V91" s="98"/>
      <c r="W91" s="98"/>
      <c r="X91" s="98"/>
      <c r="Y91" s="98"/>
    </row>
    <row r="92" spans="2:25" s="4" customFormat="1" ht="15.75" x14ac:dyDescent="0.25">
      <c r="B92" s="95">
        <f t="shared" si="13"/>
        <v>88</v>
      </c>
      <c r="C92" s="95" t="s">
        <v>64</v>
      </c>
      <c r="D92" s="95" t="s">
        <v>79</v>
      </c>
      <c r="E92" s="96" t="s">
        <v>60</v>
      </c>
      <c r="F92" s="96">
        <v>45496</v>
      </c>
      <c r="G92" s="95" t="s">
        <v>204</v>
      </c>
      <c r="H92" s="115" t="s">
        <v>17</v>
      </c>
      <c r="I92" s="112">
        <v>10988.08</v>
      </c>
      <c r="J92" s="112">
        <v>4098.04</v>
      </c>
      <c r="K92" s="113">
        <f>IF(J92,(I92-J92)/I92,"")</f>
        <v>0.62704676340179544</v>
      </c>
      <c r="L92" s="112">
        <v>1390.91</v>
      </c>
      <c r="M92" s="113">
        <f t="shared" si="12"/>
        <v>0.12658353415701379</v>
      </c>
      <c r="N92" s="112">
        <v>835.25</v>
      </c>
      <c r="O92" s="112">
        <v>0</v>
      </c>
      <c r="P92" s="116">
        <v>1338</v>
      </c>
      <c r="Q92" s="126">
        <f t="shared" si="7"/>
        <v>0.12176831621174947</v>
      </c>
      <c r="R92" s="114">
        <f t="shared" si="8"/>
        <v>2760.04</v>
      </c>
      <c r="S92" s="126">
        <f t="shared" si="9"/>
        <v>0.25118492038645512</v>
      </c>
      <c r="T92" s="126">
        <f t="shared" si="10"/>
        <v>0.5004632292447817</v>
      </c>
      <c r="U92" s="100"/>
      <c r="V92" s="98"/>
      <c r="W92" s="98"/>
      <c r="X92" s="98"/>
      <c r="Y92" s="98"/>
    </row>
    <row r="93" spans="2:25" s="4" customFormat="1" ht="15.75" x14ac:dyDescent="0.25">
      <c r="B93" s="95">
        <f t="shared" si="13"/>
        <v>89</v>
      </c>
      <c r="C93" s="95" t="s">
        <v>64</v>
      </c>
      <c r="D93" s="95" t="s">
        <v>163</v>
      </c>
      <c r="E93" s="96" t="s">
        <v>60</v>
      </c>
      <c r="F93" s="96">
        <v>45455</v>
      </c>
      <c r="G93" s="95" t="s">
        <v>205</v>
      </c>
      <c r="H93" s="115" t="s">
        <v>22</v>
      </c>
      <c r="I93" s="112">
        <v>6116.61</v>
      </c>
      <c r="J93" s="112">
        <v>2247.2199999999998</v>
      </c>
      <c r="K93" s="113">
        <f t="shared" si="11"/>
        <v>0.63260368079704277</v>
      </c>
      <c r="L93" s="112">
        <v>1116.5</v>
      </c>
      <c r="M93" s="113">
        <f t="shared" si="12"/>
        <v>0.18253575101240721</v>
      </c>
      <c r="N93" s="112">
        <v>1305.8599999999999</v>
      </c>
      <c r="O93" s="112">
        <v>0</v>
      </c>
      <c r="P93" s="116">
        <v>622</v>
      </c>
      <c r="Q93" s="126">
        <f t="shared" si="7"/>
        <v>0.10169031538711804</v>
      </c>
      <c r="R93" s="114">
        <f t="shared" si="8"/>
        <v>1625.2199999999998</v>
      </c>
      <c r="S93" s="126">
        <f t="shared" si="9"/>
        <v>0.26570600381583914</v>
      </c>
      <c r="T93" s="126">
        <f t="shared" si="10"/>
        <v>0.45006792978463556</v>
      </c>
      <c r="U93" s="100"/>
      <c r="V93" s="98"/>
      <c r="W93" s="98"/>
      <c r="X93" s="98"/>
      <c r="Y93" s="98"/>
    </row>
    <row r="94" spans="2:25" s="4" customFormat="1" ht="15.75" x14ac:dyDescent="0.25">
      <c r="B94" s="95">
        <f t="shared" si="13"/>
        <v>90</v>
      </c>
      <c r="C94" s="95" t="s">
        <v>64</v>
      </c>
      <c r="D94" s="95" t="s">
        <v>62</v>
      </c>
      <c r="E94" s="96" t="s">
        <v>105</v>
      </c>
      <c r="F94" s="96">
        <v>45384</v>
      </c>
      <c r="G94" s="95" t="s">
        <v>206</v>
      </c>
      <c r="H94" s="115" t="s">
        <v>138</v>
      </c>
      <c r="I94" s="112">
        <v>39952.980000000003</v>
      </c>
      <c r="J94" s="112">
        <v>21308.81</v>
      </c>
      <c r="K94" s="113">
        <f t="shared" si="11"/>
        <v>0.46665280036683121</v>
      </c>
      <c r="L94" s="112">
        <v>4913.8900000000003</v>
      </c>
      <c r="M94" s="113">
        <f t="shared" si="12"/>
        <v>0.12299182689251215</v>
      </c>
      <c r="N94" s="112">
        <v>2366.48</v>
      </c>
      <c r="O94" s="112">
        <v>0</v>
      </c>
      <c r="P94" s="116">
        <f>2925.27+3836+390+325</f>
        <v>7476.27</v>
      </c>
      <c r="Q94" s="126">
        <f t="shared" si="7"/>
        <v>0.18712671745636997</v>
      </c>
      <c r="R94" s="114">
        <f t="shared" si="8"/>
        <v>13832.54</v>
      </c>
      <c r="S94" s="126">
        <f t="shared" si="9"/>
        <v>0.34622048217679879</v>
      </c>
      <c r="T94" s="126">
        <f t="shared" si="10"/>
        <v>0.34366097347431906</v>
      </c>
      <c r="U94" s="100"/>
      <c r="V94" s="98"/>
      <c r="W94" s="98"/>
      <c r="X94" s="98"/>
      <c r="Y94" s="98"/>
    </row>
    <row r="95" spans="2:25" s="4" customFormat="1" ht="15.75" x14ac:dyDescent="0.25">
      <c r="B95" s="95">
        <f t="shared" si="13"/>
        <v>91</v>
      </c>
      <c r="C95" s="95" t="s">
        <v>69</v>
      </c>
      <c r="D95" s="95" t="s">
        <v>79</v>
      </c>
      <c r="E95" s="96" t="s">
        <v>60</v>
      </c>
      <c r="F95" s="96">
        <v>45496</v>
      </c>
      <c r="G95" s="95" t="s">
        <v>207</v>
      </c>
      <c r="H95" s="115" t="s">
        <v>17</v>
      </c>
      <c r="I95" s="112">
        <v>13481.22</v>
      </c>
      <c r="J95" s="112">
        <v>4661.22</v>
      </c>
      <c r="K95" s="113">
        <f t="shared" si="11"/>
        <v>0.65424345867807221</v>
      </c>
      <c r="L95" s="112">
        <v>2470.75</v>
      </c>
      <c r="M95" s="113">
        <f t="shared" si="12"/>
        <v>0.18327347228218219</v>
      </c>
      <c r="N95" s="112">
        <v>3060.32</v>
      </c>
      <c r="O95" s="112">
        <v>0</v>
      </c>
      <c r="P95" s="116">
        <v>1454</v>
      </c>
      <c r="Q95" s="126">
        <f t="shared" si="7"/>
        <v>0.10785374024012664</v>
      </c>
      <c r="R95" s="114">
        <f t="shared" si="8"/>
        <v>3207.2200000000003</v>
      </c>
      <c r="S95" s="126">
        <f t="shared" si="9"/>
        <v>0.23790280108180123</v>
      </c>
      <c r="T95" s="126">
        <f t="shared" si="10"/>
        <v>0.47096998639589005</v>
      </c>
      <c r="U95" s="100"/>
      <c r="V95" s="98"/>
      <c r="W95" s="98"/>
      <c r="X95" s="98"/>
      <c r="Y95" s="98"/>
    </row>
    <row r="96" spans="2:25" s="4" customFormat="1" ht="15.75" x14ac:dyDescent="0.25">
      <c r="B96" s="95">
        <f t="shared" si="13"/>
        <v>92</v>
      </c>
      <c r="C96" s="95" t="s">
        <v>64</v>
      </c>
      <c r="D96" s="95" t="s">
        <v>62</v>
      </c>
      <c r="E96" s="96" t="s">
        <v>105</v>
      </c>
      <c r="F96" s="96">
        <v>45456</v>
      </c>
      <c r="G96" s="95" t="s">
        <v>208</v>
      </c>
      <c r="H96" s="115" t="s">
        <v>16</v>
      </c>
      <c r="I96" s="112">
        <v>33023.93</v>
      </c>
      <c r="J96" s="112">
        <v>14119.77</v>
      </c>
      <c r="K96" s="113">
        <f t="shared" si="11"/>
        <v>0.57243822888432716</v>
      </c>
      <c r="L96" s="112">
        <v>4401.68</v>
      </c>
      <c r="M96" s="113">
        <f t="shared" si="12"/>
        <v>0.13328758872732591</v>
      </c>
      <c r="N96" s="112">
        <v>2870.73</v>
      </c>
      <c r="O96" s="112">
        <v>0</v>
      </c>
      <c r="P96" s="116">
        <f>3338.5+1202</f>
        <v>4540.5</v>
      </c>
      <c r="Q96" s="126">
        <f t="shared" si="7"/>
        <v>0.13749120713373605</v>
      </c>
      <c r="R96" s="114">
        <f t="shared" si="8"/>
        <v>9579.27</v>
      </c>
      <c r="S96" s="126">
        <f t="shared" si="9"/>
        <v>0.29007056398193676</v>
      </c>
      <c r="T96" s="126">
        <f t="shared" si="10"/>
        <v>0.43915064015700123</v>
      </c>
      <c r="U96" s="100"/>
      <c r="V96" s="98"/>
      <c r="W96" s="98"/>
      <c r="X96" s="98"/>
      <c r="Y96" s="98"/>
    </row>
    <row r="97" spans="2:25" s="4" customFormat="1" ht="15.75" x14ac:dyDescent="0.25">
      <c r="B97" s="95">
        <f t="shared" si="13"/>
        <v>93</v>
      </c>
      <c r="C97" s="95" t="s">
        <v>69</v>
      </c>
      <c r="D97" s="95" t="s">
        <v>79</v>
      </c>
      <c r="E97" s="96" t="s">
        <v>60</v>
      </c>
      <c r="F97" s="96">
        <v>45471</v>
      </c>
      <c r="G97" s="95" t="s">
        <v>209</v>
      </c>
      <c r="H97" s="115" t="s">
        <v>29</v>
      </c>
      <c r="I97" s="112">
        <v>55642.21</v>
      </c>
      <c r="J97" s="112">
        <v>24286.03</v>
      </c>
      <c r="K97" s="113">
        <f t="shared" si="11"/>
        <v>0.56353225366138404</v>
      </c>
      <c r="L97" s="112">
        <v>6116.49</v>
      </c>
      <c r="M97" s="113">
        <f t="shared" si="12"/>
        <v>0.10992536062101056</v>
      </c>
      <c r="N97" s="112">
        <v>2229.41</v>
      </c>
      <c r="O97" s="112">
        <v>0</v>
      </c>
      <c r="P97" s="116">
        <f>2576+1050</f>
        <v>3626</v>
      </c>
      <c r="Q97" s="126">
        <f t="shared" si="7"/>
        <v>6.5166354823074063E-2</v>
      </c>
      <c r="R97" s="114">
        <f t="shared" si="8"/>
        <v>20660.03</v>
      </c>
      <c r="S97" s="126">
        <f t="shared" si="9"/>
        <v>0.37130139151554187</v>
      </c>
      <c r="T97" s="126">
        <f t="shared" si="10"/>
        <v>0.45360689304037349</v>
      </c>
      <c r="U97" s="100"/>
      <c r="V97" s="98"/>
      <c r="W97" s="98"/>
      <c r="X97" s="98"/>
      <c r="Y97" s="98"/>
    </row>
    <row r="98" spans="2:25" s="4" customFormat="1" ht="15.75" x14ac:dyDescent="0.25">
      <c r="B98" s="95">
        <f t="shared" si="13"/>
        <v>94</v>
      </c>
      <c r="C98" s="95" t="s">
        <v>69</v>
      </c>
      <c r="D98" s="95" t="s">
        <v>163</v>
      </c>
      <c r="E98" s="96" t="s">
        <v>60</v>
      </c>
      <c r="F98" s="96">
        <v>45511</v>
      </c>
      <c r="G98" s="95" t="s">
        <v>210</v>
      </c>
      <c r="H98" s="115" t="s">
        <v>211</v>
      </c>
      <c r="I98" s="112">
        <v>23488.639999999999</v>
      </c>
      <c r="J98" s="112">
        <v>10355.870000000001</v>
      </c>
      <c r="K98" s="113">
        <f t="shared" si="11"/>
        <v>0.5591115534999046</v>
      </c>
      <c r="L98" s="112">
        <v>2625.64</v>
      </c>
      <c r="M98" s="113">
        <f t="shared" si="12"/>
        <v>0.11178339827252663</v>
      </c>
      <c r="N98" s="112">
        <v>1619.11</v>
      </c>
      <c r="O98" s="112">
        <v>0</v>
      </c>
      <c r="P98" s="116">
        <v>1377</v>
      </c>
      <c r="Q98" s="126">
        <f t="shared" si="7"/>
        <v>5.8624083812430179E-2</v>
      </c>
      <c r="R98" s="114">
        <f t="shared" si="8"/>
        <v>8978.8700000000008</v>
      </c>
      <c r="S98" s="126">
        <f t="shared" si="9"/>
        <v>0.38226436268766523</v>
      </c>
      <c r="T98" s="126">
        <f t="shared" si="10"/>
        <v>0.44732815522737795</v>
      </c>
      <c r="U98" s="100"/>
      <c r="V98" s="98"/>
      <c r="W98" s="98"/>
      <c r="X98" s="98"/>
      <c r="Y98" s="98"/>
    </row>
    <row r="99" spans="2:25" s="4" customFormat="1" ht="15.75" x14ac:dyDescent="0.25">
      <c r="B99" s="95">
        <f t="shared" si="13"/>
        <v>95</v>
      </c>
      <c r="C99" s="95" t="s">
        <v>64</v>
      </c>
      <c r="D99" s="95" t="s">
        <v>133</v>
      </c>
      <c r="E99" s="96" t="s">
        <v>60</v>
      </c>
      <c r="F99" s="96">
        <v>45462</v>
      </c>
      <c r="G99" s="95" t="s">
        <v>212</v>
      </c>
      <c r="H99" s="115" t="s">
        <v>14</v>
      </c>
      <c r="I99" s="112">
        <v>19498.3</v>
      </c>
      <c r="J99" s="112">
        <v>8624.08</v>
      </c>
      <c r="K99" s="113">
        <f t="shared" si="11"/>
        <v>0.55770092777319047</v>
      </c>
      <c r="L99" s="112">
        <v>3006.34</v>
      </c>
      <c r="M99" s="113">
        <f t="shared" si="12"/>
        <v>0.15418472379643355</v>
      </c>
      <c r="N99" s="112">
        <v>3130.49</v>
      </c>
      <c r="O99" s="112">
        <v>0</v>
      </c>
      <c r="P99" s="116">
        <f>1640+925</f>
        <v>2565</v>
      </c>
      <c r="Q99" s="126">
        <f t="shared" si="7"/>
        <v>0.13154992999389692</v>
      </c>
      <c r="R99" s="114">
        <f t="shared" si="8"/>
        <v>6059.08</v>
      </c>
      <c r="S99" s="126">
        <f t="shared" si="9"/>
        <v>0.31074914223291261</v>
      </c>
      <c r="T99" s="126">
        <f t="shared" si="10"/>
        <v>0.40351620397675692</v>
      </c>
      <c r="U99" s="100"/>
      <c r="V99" s="98"/>
      <c r="W99" s="98"/>
      <c r="X99" s="98"/>
      <c r="Y99" s="98"/>
    </row>
    <row r="100" spans="2:25" s="4" customFormat="1" ht="15.75" x14ac:dyDescent="0.25">
      <c r="B100" s="95">
        <f t="shared" si="13"/>
        <v>96</v>
      </c>
      <c r="C100" s="95" t="s">
        <v>64</v>
      </c>
      <c r="D100" s="95" t="s">
        <v>62</v>
      </c>
      <c r="E100" s="96" t="s">
        <v>114</v>
      </c>
      <c r="F100" s="96">
        <v>45381</v>
      </c>
      <c r="G100" s="95" t="s">
        <v>213</v>
      </c>
      <c r="H100" s="115" t="s">
        <v>16</v>
      </c>
      <c r="I100" s="112">
        <v>51000</v>
      </c>
      <c r="J100" s="112">
        <v>19818.25</v>
      </c>
      <c r="K100" s="113">
        <f t="shared" si="11"/>
        <v>0.61140686274509803</v>
      </c>
      <c r="L100" s="112">
        <v>6232.98</v>
      </c>
      <c r="M100" s="113">
        <f t="shared" si="12"/>
        <v>0.12221529411764705</v>
      </c>
      <c r="N100" s="112">
        <v>5193.66</v>
      </c>
      <c r="O100" s="112">
        <v>0</v>
      </c>
      <c r="P100" s="116">
        <f>1075+800+938+1400+1050+2900+400+858</f>
        <v>9421</v>
      </c>
      <c r="Q100" s="126">
        <f t="shared" si="7"/>
        <v>0.18472549019607842</v>
      </c>
      <c r="R100" s="114">
        <f t="shared" si="8"/>
        <v>10397.25</v>
      </c>
      <c r="S100" s="126">
        <f t="shared" si="9"/>
        <v>0.20386764705882354</v>
      </c>
      <c r="T100" s="126">
        <f t="shared" si="10"/>
        <v>0.489191568627451</v>
      </c>
      <c r="U100" s="100"/>
      <c r="V100" s="98"/>
      <c r="W100" s="98"/>
      <c r="X100" s="98"/>
      <c r="Y100" s="98"/>
    </row>
    <row r="101" spans="2:25" s="4" customFormat="1" ht="15.75" x14ac:dyDescent="0.25">
      <c r="B101" s="95">
        <f t="shared" si="13"/>
        <v>97</v>
      </c>
      <c r="C101" s="95" t="s">
        <v>214</v>
      </c>
      <c r="D101" s="95" t="s">
        <v>163</v>
      </c>
      <c r="E101" s="96" t="s">
        <v>60</v>
      </c>
      <c r="F101" s="96">
        <v>45436</v>
      </c>
      <c r="G101" s="95" t="s">
        <v>215</v>
      </c>
      <c r="H101" s="115" t="s">
        <v>216</v>
      </c>
      <c r="I101" s="112">
        <v>27300</v>
      </c>
      <c r="J101" s="112">
        <v>8822.4500000000007</v>
      </c>
      <c r="K101" s="113">
        <f t="shared" si="11"/>
        <v>0.67683333333333329</v>
      </c>
      <c r="L101" s="112">
        <v>2314.98</v>
      </c>
      <c r="M101" s="113">
        <f t="shared" si="12"/>
        <v>8.4797802197802197E-2</v>
      </c>
      <c r="N101" s="112">
        <v>858.84</v>
      </c>
      <c r="O101" s="112">
        <v>300</v>
      </c>
      <c r="P101" s="116">
        <v>1745</v>
      </c>
      <c r="Q101" s="126">
        <f t="shared" si="7"/>
        <v>6.3919413919413914E-2</v>
      </c>
      <c r="R101" s="114">
        <f t="shared" si="8"/>
        <v>7077.4500000000007</v>
      </c>
      <c r="S101" s="126">
        <f t="shared" si="9"/>
        <v>0.2592472527472528</v>
      </c>
      <c r="T101" s="126">
        <f t="shared" si="10"/>
        <v>0.59203553113553109</v>
      </c>
      <c r="U101" s="100"/>
      <c r="V101" s="98"/>
      <c r="W101" s="98"/>
      <c r="X101" s="98"/>
      <c r="Y101" s="98"/>
    </row>
    <row r="102" spans="2:25" s="4" customFormat="1" ht="15.75" x14ac:dyDescent="0.25">
      <c r="B102" s="95">
        <f t="shared" si="13"/>
        <v>98</v>
      </c>
      <c r="C102" s="95" t="s">
        <v>64</v>
      </c>
      <c r="D102" s="95" t="s">
        <v>174</v>
      </c>
      <c r="E102" s="96" t="s">
        <v>217</v>
      </c>
      <c r="F102" s="96">
        <v>45509</v>
      </c>
      <c r="G102" s="95" t="s">
        <v>218</v>
      </c>
      <c r="H102" s="115" t="s">
        <v>15</v>
      </c>
      <c r="I102" s="112">
        <v>14278.28</v>
      </c>
      <c r="J102" s="112">
        <v>5963.96</v>
      </c>
      <c r="K102" s="113">
        <f t="shared" si="11"/>
        <v>0.58230543174668092</v>
      </c>
      <c r="L102" s="112">
        <v>832.78</v>
      </c>
      <c r="M102" s="113">
        <f t="shared" si="12"/>
        <v>5.832495230517961E-2</v>
      </c>
      <c r="N102" s="112">
        <v>-1917.62</v>
      </c>
      <c r="O102" s="112">
        <v>200</v>
      </c>
      <c r="P102" s="116">
        <f>2016</f>
        <v>2016</v>
      </c>
      <c r="Q102" s="126">
        <f t="shared" si="7"/>
        <v>0.14119347708547528</v>
      </c>
      <c r="R102" s="114">
        <f t="shared" si="8"/>
        <v>3947.96</v>
      </c>
      <c r="S102" s="126">
        <f t="shared" si="9"/>
        <v>0.27650109116784372</v>
      </c>
      <c r="T102" s="126">
        <f t="shared" si="10"/>
        <v>0.52398047944150128</v>
      </c>
      <c r="U102" s="100"/>
      <c r="V102" s="98"/>
      <c r="W102" s="98"/>
      <c r="X102" s="98"/>
      <c r="Y102" s="98"/>
    </row>
    <row r="103" spans="2:25" s="4" customFormat="1" ht="15.75" x14ac:dyDescent="0.25">
      <c r="B103" s="95">
        <f t="shared" si="13"/>
        <v>99</v>
      </c>
      <c r="C103" s="95" t="s">
        <v>64</v>
      </c>
      <c r="D103" s="95" t="s">
        <v>174</v>
      </c>
      <c r="E103" s="96" t="s">
        <v>114</v>
      </c>
      <c r="F103" s="96">
        <v>45546</v>
      </c>
      <c r="G103" s="95" t="s">
        <v>219</v>
      </c>
      <c r="H103" s="115" t="s">
        <v>15</v>
      </c>
      <c r="I103" s="112">
        <v>10500</v>
      </c>
      <c r="J103" s="112">
        <v>3028.96</v>
      </c>
      <c r="K103" s="113">
        <f t="shared" si="11"/>
        <v>0.71152761904761908</v>
      </c>
      <c r="L103" s="112">
        <v>1442</v>
      </c>
      <c r="M103" s="113">
        <f t="shared" si="12"/>
        <v>0.13733333333333334</v>
      </c>
      <c r="N103" s="112">
        <v>1085</v>
      </c>
      <c r="O103" s="112">
        <v>0</v>
      </c>
      <c r="P103" s="116">
        <v>1086</v>
      </c>
      <c r="Q103" s="126">
        <f t="shared" si="7"/>
        <v>0.10342857142857143</v>
      </c>
      <c r="R103" s="114">
        <f t="shared" si="8"/>
        <v>1942.96</v>
      </c>
      <c r="S103" s="126">
        <f t="shared" si="9"/>
        <v>0.18504380952380953</v>
      </c>
      <c r="T103" s="126">
        <f t="shared" si="10"/>
        <v>0.57419428571428577</v>
      </c>
      <c r="U103" s="100"/>
      <c r="V103" s="98"/>
      <c r="W103" s="98"/>
      <c r="X103" s="98"/>
      <c r="Y103" s="98"/>
    </row>
    <row r="104" spans="2:25" s="4" customFormat="1" ht="15.75" x14ac:dyDescent="0.25">
      <c r="B104" s="95">
        <f t="shared" si="13"/>
        <v>100</v>
      </c>
      <c r="C104" s="95" t="s">
        <v>66</v>
      </c>
      <c r="D104" s="95" t="s">
        <v>141</v>
      </c>
      <c r="E104" s="96" t="s">
        <v>114</v>
      </c>
      <c r="F104" s="96">
        <v>45539</v>
      </c>
      <c r="G104" s="95" t="s">
        <v>220</v>
      </c>
      <c r="H104" s="115" t="s">
        <v>15</v>
      </c>
      <c r="I104" s="112">
        <v>17337.52</v>
      </c>
      <c r="J104" s="112">
        <v>6540.03</v>
      </c>
      <c r="K104" s="113">
        <f t="shared" si="11"/>
        <v>0.62278168965342229</v>
      </c>
      <c r="L104" s="112">
        <v>1888.28</v>
      </c>
      <c r="M104" s="113">
        <f t="shared" si="12"/>
        <v>0.10891292410909979</v>
      </c>
      <c r="N104" s="112">
        <v>456.32</v>
      </c>
      <c r="O104" s="112">
        <v>0</v>
      </c>
      <c r="P104" s="116">
        <f>2000+586</f>
        <v>2586</v>
      </c>
      <c r="Q104" s="126">
        <f t="shared" si="7"/>
        <v>0.1491562807137353</v>
      </c>
      <c r="R104" s="114">
        <f t="shared" si="8"/>
        <v>3954.0299999999997</v>
      </c>
      <c r="S104" s="126">
        <f t="shared" si="9"/>
        <v>0.2280620296328425</v>
      </c>
      <c r="T104" s="126">
        <f t="shared" si="10"/>
        <v>0.51386876554432248</v>
      </c>
      <c r="U104" s="100"/>
      <c r="V104" s="98"/>
      <c r="W104" s="98"/>
      <c r="X104" s="98"/>
      <c r="Y104" s="98"/>
    </row>
    <row r="105" spans="2:25" s="4" customFormat="1" ht="15.75" x14ac:dyDescent="0.25">
      <c r="B105" s="95">
        <f t="shared" si="13"/>
        <v>101</v>
      </c>
      <c r="C105" s="95" t="s">
        <v>64</v>
      </c>
      <c r="D105" s="95" t="s">
        <v>174</v>
      </c>
      <c r="E105" s="96" t="s">
        <v>217</v>
      </c>
      <c r="F105" s="96">
        <v>45547</v>
      </c>
      <c r="G105" s="95" t="s">
        <v>221</v>
      </c>
      <c r="H105" s="115" t="s">
        <v>15</v>
      </c>
      <c r="I105" s="112">
        <v>11598.61</v>
      </c>
      <c r="J105" s="112">
        <v>4686.3599999999997</v>
      </c>
      <c r="K105" s="113">
        <f t="shared" si="11"/>
        <v>0.59595503254269266</v>
      </c>
      <c r="L105" s="112">
        <v>1265.54</v>
      </c>
      <c r="M105" s="113">
        <f t="shared" si="12"/>
        <v>0.10911135041181658</v>
      </c>
      <c r="N105" s="112">
        <v>369.21</v>
      </c>
      <c r="O105" s="112">
        <v>0</v>
      </c>
      <c r="P105" s="116">
        <f>1581</f>
        <v>1581</v>
      </c>
      <c r="Q105" s="126">
        <f t="shared" si="7"/>
        <v>0.13630943707909826</v>
      </c>
      <c r="R105" s="114">
        <f t="shared" si="8"/>
        <v>3105.3599999999997</v>
      </c>
      <c r="S105" s="126">
        <f t="shared" si="9"/>
        <v>0.26773553037820907</v>
      </c>
      <c r="T105" s="126">
        <f t="shared" si="10"/>
        <v>0.48684368213087609</v>
      </c>
      <c r="U105" s="100"/>
      <c r="V105" s="98"/>
      <c r="W105" s="98"/>
      <c r="X105" s="98"/>
      <c r="Y105" s="98"/>
    </row>
    <row r="106" spans="2:25" s="4" customFormat="1" ht="15.75" x14ac:dyDescent="0.25">
      <c r="B106" s="95">
        <f t="shared" si="13"/>
        <v>102</v>
      </c>
      <c r="C106" s="95" t="s">
        <v>64</v>
      </c>
      <c r="D106" s="95" t="s">
        <v>174</v>
      </c>
      <c r="E106" s="96" t="s">
        <v>114</v>
      </c>
      <c r="F106" s="96">
        <v>45502</v>
      </c>
      <c r="G106" s="95" t="s">
        <v>222</v>
      </c>
      <c r="H106" s="115" t="s">
        <v>15</v>
      </c>
      <c r="I106" s="112">
        <v>20656.91</v>
      </c>
      <c r="J106" s="112">
        <f>7155.45+150</f>
        <v>7305.45</v>
      </c>
      <c r="K106" s="113">
        <f t="shared" si="11"/>
        <v>0.64634352378937598</v>
      </c>
      <c r="L106" s="112">
        <v>3823.06</v>
      </c>
      <c r="M106" s="113">
        <f t="shared" si="12"/>
        <v>0.18507414710138156</v>
      </c>
      <c r="N106" s="112">
        <v>4463.43</v>
      </c>
      <c r="O106" s="112">
        <v>0</v>
      </c>
      <c r="P106" s="116">
        <f>1800+528+150</f>
        <v>2478</v>
      </c>
      <c r="Q106" s="126">
        <f t="shared" si="7"/>
        <v>0.11995985846866739</v>
      </c>
      <c r="R106" s="114">
        <f t="shared" si="8"/>
        <v>4827.45</v>
      </c>
      <c r="S106" s="126">
        <f t="shared" si="9"/>
        <v>0.23369661774195655</v>
      </c>
      <c r="T106" s="126">
        <f t="shared" si="10"/>
        <v>0.46126937668799439</v>
      </c>
      <c r="U106" s="100"/>
      <c r="V106" s="98"/>
      <c r="W106" s="98"/>
      <c r="X106" s="98"/>
      <c r="Y106" s="98"/>
    </row>
    <row r="107" spans="2:25" s="4" customFormat="1" ht="15.75" x14ac:dyDescent="0.25">
      <c r="B107" s="95">
        <f t="shared" si="13"/>
        <v>103</v>
      </c>
      <c r="C107" s="95" t="s">
        <v>64</v>
      </c>
      <c r="D107" s="95" t="s">
        <v>141</v>
      </c>
      <c r="E107" s="96" t="s">
        <v>114</v>
      </c>
      <c r="F107" s="96">
        <v>45426</v>
      </c>
      <c r="G107" s="95" t="s">
        <v>223</v>
      </c>
      <c r="H107" s="115" t="s">
        <v>138</v>
      </c>
      <c r="I107" s="112">
        <v>49786.76</v>
      </c>
      <c r="J107" s="112">
        <v>25883.759999999998</v>
      </c>
      <c r="K107" s="113">
        <f t="shared" si="11"/>
        <v>0.4801075627335461</v>
      </c>
      <c r="L107" s="112">
        <v>225.94</v>
      </c>
      <c r="M107" s="113">
        <f t="shared" si="12"/>
        <v>4.5381543205462657E-3</v>
      </c>
      <c r="N107" s="112">
        <v>5273.13</v>
      </c>
      <c r="O107" s="112">
        <v>0</v>
      </c>
      <c r="P107" s="116">
        <f>1300+2000+1901+235+733</f>
        <v>6169</v>
      </c>
      <c r="Q107" s="126">
        <f t="shared" si="7"/>
        <v>0.12390844473510627</v>
      </c>
      <c r="R107" s="114">
        <f t="shared" si="8"/>
        <v>19714.759999999998</v>
      </c>
      <c r="S107" s="126">
        <f t="shared" si="9"/>
        <v>0.39598399253134764</v>
      </c>
      <c r="T107" s="126">
        <f t="shared" si="10"/>
        <v>0.47556940841299983</v>
      </c>
      <c r="U107" s="100"/>
      <c r="V107" s="98"/>
      <c r="W107" s="98"/>
      <c r="X107" s="98"/>
      <c r="Y107" s="98"/>
    </row>
    <row r="108" spans="2:25" s="4" customFormat="1" ht="15.75" x14ac:dyDescent="0.25">
      <c r="B108" s="95">
        <f t="shared" si="13"/>
        <v>104</v>
      </c>
      <c r="C108" s="95"/>
      <c r="D108" s="95"/>
      <c r="E108" s="96"/>
      <c r="F108" s="96"/>
      <c r="G108" s="95"/>
      <c r="H108" s="115"/>
      <c r="I108" s="112"/>
      <c r="J108" s="112"/>
      <c r="K108" s="113" t="str">
        <f t="shared" si="11"/>
        <v/>
      </c>
      <c r="L108" s="112"/>
      <c r="M108" s="113" t="str">
        <f t="shared" si="12"/>
        <v/>
      </c>
      <c r="N108" s="112"/>
      <c r="O108" s="112">
        <v>0</v>
      </c>
      <c r="P108" s="116">
        <v>0</v>
      </c>
      <c r="Q108" s="126" t="str">
        <f t="shared" si="7"/>
        <v/>
      </c>
      <c r="R108" s="114">
        <f t="shared" si="8"/>
        <v>0</v>
      </c>
      <c r="S108" s="126" t="str">
        <f t="shared" si="9"/>
        <v/>
      </c>
      <c r="T108" s="126" t="str">
        <f t="shared" si="10"/>
        <v/>
      </c>
      <c r="U108" s="100"/>
      <c r="V108" s="98"/>
      <c r="W108" s="98"/>
      <c r="X108" s="98"/>
      <c r="Y108" s="98"/>
    </row>
    <row r="109" spans="2:25" s="4" customFormat="1" ht="15.75" x14ac:dyDescent="0.25">
      <c r="B109" s="95">
        <f>B108+1</f>
        <v>105</v>
      </c>
      <c r="C109" s="95"/>
      <c r="D109" s="95"/>
      <c r="E109" s="96"/>
      <c r="F109" s="96"/>
      <c r="G109" s="95"/>
      <c r="H109" s="115"/>
      <c r="I109" s="112"/>
      <c r="J109" s="112"/>
      <c r="K109" s="113" t="str">
        <f t="shared" si="11"/>
        <v/>
      </c>
      <c r="L109" s="112"/>
      <c r="M109" s="113" t="str">
        <f t="shared" si="12"/>
        <v/>
      </c>
      <c r="N109" s="112"/>
      <c r="O109" s="112">
        <v>0</v>
      </c>
      <c r="P109" s="116">
        <v>0</v>
      </c>
      <c r="Q109" s="126" t="str">
        <f t="shared" si="7"/>
        <v/>
      </c>
      <c r="R109" s="114">
        <f t="shared" si="8"/>
        <v>0</v>
      </c>
      <c r="S109" s="126" t="str">
        <f t="shared" si="9"/>
        <v/>
      </c>
      <c r="T109" s="126" t="str">
        <f t="shared" si="10"/>
        <v/>
      </c>
      <c r="U109" s="100"/>
      <c r="V109" s="98"/>
      <c r="W109" s="98"/>
      <c r="X109" s="98"/>
      <c r="Y109" s="98"/>
    </row>
    <row r="110" spans="2:25" s="4" customFormat="1" ht="15.75" x14ac:dyDescent="0.25">
      <c r="B110" s="95">
        <f t="shared" si="13"/>
        <v>106</v>
      </c>
      <c r="C110" s="95"/>
      <c r="D110" s="95"/>
      <c r="E110" s="96"/>
      <c r="F110" s="96"/>
      <c r="G110" s="121"/>
      <c r="H110" s="115"/>
      <c r="I110" s="112"/>
      <c r="J110" s="112"/>
      <c r="K110" s="113" t="str">
        <f t="shared" si="11"/>
        <v/>
      </c>
      <c r="L110" s="112"/>
      <c r="M110" s="113" t="str">
        <f t="shared" si="12"/>
        <v/>
      </c>
      <c r="N110" s="112"/>
      <c r="O110" s="112">
        <v>0</v>
      </c>
      <c r="P110" s="116">
        <v>0</v>
      </c>
      <c r="Q110" s="126" t="str">
        <f t="shared" si="7"/>
        <v/>
      </c>
      <c r="R110" s="114">
        <f t="shared" si="8"/>
        <v>0</v>
      </c>
      <c r="S110" s="126" t="str">
        <f t="shared" si="9"/>
        <v/>
      </c>
      <c r="T110" s="126" t="str">
        <f t="shared" si="10"/>
        <v/>
      </c>
      <c r="U110" s="100"/>
      <c r="V110" s="98"/>
      <c r="W110" s="98"/>
      <c r="X110" s="98"/>
      <c r="Y110" s="98"/>
    </row>
    <row r="111" spans="2:25" s="4" customFormat="1" ht="15.75" x14ac:dyDescent="0.25">
      <c r="B111" s="95">
        <f t="shared" si="13"/>
        <v>107</v>
      </c>
      <c r="C111" s="95"/>
      <c r="D111" s="95"/>
      <c r="E111" s="96"/>
      <c r="F111" s="96"/>
      <c r="G111" s="121"/>
      <c r="H111" s="115"/>
      <c r="I111" s="112"/>
      <c r="J111" s="112"/>
      <c r="K111" s="113" t="str">
        <f t="shared" si="11"/>
        <v/>
      </c>
      <c r="L111" s="112"/>
      <c r="M111" s="113" t="str">
        <f t="shared" si="12"/>
        <v/>
      </c>
      <c r="N111" s="112"/>
      <c r="O111" s="112">
        <v>0</v>
      </c>
      <c r="P111" s="116">
        <v>0</v>
      </c>
      <c r="Q111" s="126" t="str">
        <f t="shared" si="7"/>
        <v/>
      </c>
      <c r="R111" s="114">
        <f t="shared" si="8"/>
        <v>0</v>
      </c>
      <c r="S111" s="126" t="str">
        <f t="shared" si="9"/>
        <v/>
      </c>
      <c r="T111" s="126" t="str">
        <f t="shared" si="10"/>
        <v/>
      </c>
      <c r="U111" s="100"/>
      <c r="V111" s="98"/>
      <c r="W111" s="98"/>
      <c r="X111" s="98"/>
      <c r="Y111" s="98"/>
    </row>
    <row r="112" spans="2:25" s="4" customFormat="1" ht="15.75" x14ac:dyDescent="0.25">
      <c r="B112" s="95">
        <f t="shared" si="13"/>
        <v>108</v>
      </c>
      <c r="C112" s="95"/>
      <c r="D112" s="95"/>
      <c r="E112" s="96"/>
      <c r="F112" s="96"/>
      <c r="G112" s="121"/>
      <c r="H112" s="115"/>
      <c r="I112" s="112"/>
      <c r="J112" s="112"/>
      <c r="K112" s="113" t="str">
        <f t="shared" si="11"/>
        <v/>
      </c>
      <c r="L112" s="112"/>
      <c r="M112" s="113" t="str">
        <f t="shared" si="12"/>
        <v/>
      </c>
      <c r="N112" s="112"/>
      <c r="O112" s="112">
        <v>0</v>
      </c>
      <c r="P112" s="116">
        <v>0</v>
      </c>
      <c r="Q112" s="126" t="str">
        <f t="shared" si="7"/>
        <v/>
      </c>
      <c r="R112" s="114">
        <f t="shared" si="8"/>
        <v>0</v>
      </c>
      <c r="S112" s="126" t="str">
        <f t="shared" si="9"/>
        <v/>
      </c>
      <c r="T112" s="126" t="str">
        <f t="shared" si="10"/>
        <v/>
      </c>
      <c r="U112" s="100"/>
      <c r="V112" s="98"/>
      <c r="W112" s="98"/>
      <c r="X112" s="98"/>
      <c r="Y112" s="98"/>
    </row>
    <row r="113" spans="2:25" s="4" customFormat="1" ht="15.75" x14ac:dyDescent="0.25">
      <c r="B113" s="95">
        <f t="shared" si="13"/>
        <v>109</v>
      </c>
      <c r="C113" s="95"/>
      <c r="D113" s="95"/>
      <c r="E113" s="96"/>
      <c r="F113" s="96"/>
      <c r="G113" s="121"/>
      <c r="H113" s="115"/>
      <c r="I113" s="112"/>
      <c r="J113" s="112"/>
      <c r="K113" s="113" t="str">
        <f t="shared" si="11"/>
        <v/>
      </c>
      <c r="L113" s="112"/>
      <c r="M113" s="113" t="str">
        <f t="shared" si="12"/>
        <v/>
      </c>
      <c r="N113" s="112"/>
      <c r="O113" s="112">
        <v>0</v>
      </c>
      <c r="P113" s="116">
        <v>0</v>
      </c>
      <c r="Q113" s="126" t="str">
        <f t="shared" si="7"/>
        <v/>
      </c>
      <c r="R113" s="114">
        <f t="shared" si="8"/>
        <v>0</v>
      </c>
      <c r="S113" s="126" t="str">
        <f t="shared" si="9"/>
        <v/>
      </c>
      <c r="T113" s="126" t="str">
        <f t="shared" si="10"/>
        <v/>
      </c>
      <c r="U113" s="100"/>
      <c r="V113" s="98"/>
      <c r="W113" s="98"/>
      <c r="X113" s="98"/>
      <c r="Y113" s="98"/>
    </row>
    <row r="114" spans="2:25" s="4" customFormat="1" ht="15.75" x14ac:dyDescent="0.25">
      <c r="B114" s="95">
        <f t="shared" si="13"/>
        <v>110</v>
      </c>
      <c r="C114" s="95"/>
      <c r="D114" s="95"/>
      <c r="E114" s="96"/>
      <c r="F114" s="96"/>
      <c r="G114" s="121"/>
      <c r="H114" s="115"/>
      <c r="I114" s="112"/>
      <c r="J114" s="112"/>
      <c r="K114" s="113" t="str">
        <f t="shared" si="11"/>
        <v/>
      </c>
      <c r="L114" s="112"/>
      <c r="M114" s="113" t="str">
        <f t="shared" si="12"/>
        <v/>
      </c>
      <c r="N114" s="112"/>
      <c r="O114" s="112">
        <v>0</v>
      </c>
      <c r="P114" s="116">
        <v>0</v>
      </c>
      <c r="Q114" s="126" t="str">
        <f t="shared" si="7"/>
        <v/>
      </c>
      <c r="R114" s="114">
        <f t="shared" si="8"/>
        <v>0</v>
      </c>
      <c r="S114" s="126" t="str">
        <f t="shared" si="9"/>
        <v/>
      </c>
      <c r="T114" s="126" t="str">
        <f t="shared" si="10"/>
        <v/>
      </c>
      <c r="U114" s="100"/>
      <c r="V114" s="98"/>
      <c r="W114" s="98"/>
      <c r="X114" s="98"/>
      <c r="Y114" s="98"/>
    </row>
    <row r="115" spans="2:25" s="4" customFormat="1" ht="15.75" x14ac:dyDescent="0.25">
      <c r="B115" s="95">
        <f t="shared" si="13"/>
        <v>111</v>
      </c>
      <c r="C115" s="95"/>
      <c r="D115" s="95"/>
      <c r="E115" s="96"/>
      <c r="F115" s="96"/>
      <c r="G115" s="95"/>
      <c r="H115" s="115"/>
      <c r="I115" s="112"/>
      <c r="J115" s="112"/>
      <c r="K115" s="113" t="str">
        <f t="shared" si="11"/>
        <v/>
      </c>
      <c r="L115" s="112"/>
      <c r="M115" s="113" t="str">
        <f t="shared" si="12"/>
        <v/>
      </c>
      <c r="N115" s="112"/>
      <c r="O115" s="112">
        <v>0</v>
      </c>
      <c r="P115" s="116">
        <v>0</v>
      </c>
      <c r="Q115" s="126" t="str">
        <f t="shared" si="7"/>
        <v/>
      </c>
      <c r="R115" s="114">
        <f t="shared" si="8"/>
        <v>0</v>
      </c>
      <c r="S115" s="126" t="str">
        <f t="shared" si="9"/>
        <v/>
      </c>
      <c r="T115" s="126" t="str">
        <f t="shared" si="10"/>
        <v/>
      </c>
      <c r="U115" s="100"/>
      <c r="V115" s="98"/>
      <c r="W115" s="98"/>
      <c r="X115" s="98"/>
      <c r="Y115" s="98"/>
    </row>
    <row r="116" spans="2:25" s="4" customFormat="1" ht="15.75" x14ac:dyDescent="0.25">
      <c r="B116" s="95">
        <f t="shared" si="13"/>
        <v>112</v>
      </c>
      <c r="C116" s="95"/>
      <c r="D116" s="95"/>
      <c r="E116" s="96"/>
      <c r="F116" s="96"/>
      <c r="G116" s="95"/>
      <c r="H116" s="115"/>
      <c r="I116" s="112"/>
      <c r="J116" s="112"/>
      <c r="K116" s="113" t="str">
        <f t="shared" si="11"/>
        <v/>
      </c>
      <c r="L116" s="112"/>
      <c r="M116" s="113" t="str">
        <f t="shared" si="12"/>
        <v/>
      </c>
      <c r="N116" s="112"/>
      <c r="O116" s="112">
        <v>0</v>
      </c>
      <c r="P116" s="116">
        <v>0</v>
      </c>
      <c r="Q116" s="126" t="str">
        <f t="shared" si="7"/>
        <v/>
      </c>
      <c r="R116" s="114">
        <f t="shared" si="8"/>
        <v>0</v>
      </c>
      <c r="S116" s="126" t="str">
        <f t="shared" si="9"/>
        <v/>
      </c>
      <c r="T116" s="126" t="str">
        <f t="shared" si="10"/>
        <v/>
      </c>
      <c r="U116" s="100"/>
      <c r="V116" s="98"/>
      <c r="W116" s="98"/>
      <c r="X116" s="98"/>
      <c r="Y116" s="98"/>
    </row>
    <row r="117" spans="2:25" s="4" customFormat="1" ht="15.75" x14ac:dyDescent="0.25">
      <c r="B117" s="95">
        <f t="shared" si="13"/>
        <v>113</v>
      </c>
      <c r="C117" s="95"/>
      <c r="D117" s="95"/>
      <c r="E117" s="96"/>
      <c r="F117" s="96"/>
      <c r="G117" s="95"/>
      <c r="H117" s="115"/>
      <c r="I117" s="112"/>
      <c r="J117" s="112"/>
      <c r="K117" s="113" t="str">
        <f t="shared" si="11"/>
        <v/>
      </c>
      <c r="L117" s="112"/>
      <c r="M117" s="113" t="str">
        <f t="shared" si="12"/>
        <v/>
      </c>
      <c r="N117" s="112"/>
      <c r="O117" s="112">
        <v>0</v>
      </c>
      <c r="P117" s="116">
        <v>0</v>
      </c>
      <c r="Q117" s="126" t="str">
        <f t="shared" si="7"/>
        <v/>
      </c>
      <c r="R117" s="114">
        <f t="shared" si="8"/>
        <v>0</v>
      </c>
      <c r="S117" s="126" t="str">
        <f t="shared" si="9"/>
        <v/>
      </c>
      <c r="T117" s="126" t="str">
        <f t="shared" si="10"/>
        <v/>
      </c>
      <c r="U117" s="100"/>
      <c r="V117" s="98"/>
      <c r="W117" s="98"/>
      <c r="X117" s="98"/>
      <c r="Y117" s="98"/>
    </row>
    <row r="118" spans="2:25" s="4" customFormat="1" ht="15.75" x14ac:dyDescent="0.25">
      <c r="B118" s="95">
        <f t="shared" si="13"/>
        <v>114</v>
      </c>
      <c r="C118" s="95"/>
      <c r="D118" s="95"/>
      <c r="E118" s="96"/>
      <c r="F118" s="96"/>
      <c r="G118" s="95"/>
      <c r="H118" s="115"/>
      <c r="I118" s="112"/>
      <c r="J118" s="112"/>
      <c r="K118" s="113" t="str">
        <f t="shared" si="11"/>
        <v/>
      </c>
      <c r="L118" s="112"/>
      <c r="M118" s="113" t="str">
        <f t="shared" si="12"/>
        <v/>
      </c>
      <c r="N118" s="112"/>
      <c r="O118" s="112">
        <v>0</v>
      </c>
      <c r="P118" s="116">
        <v>0</v>
      </c>
      <c r="Q118" s="126" t="str">
        <f t="shared" si="7"/>
        <v/>
      </c>
      <c r="R118" s="114">
        <f t="shared" si="8"/>
        <v>0</v>
      </c>
      <c r="S118" s="126" t="str">
        <f t="shared" si="9"/>
        <v/>
      </c>
      <c r="T118" s="126" t="str">
        <f t="shared" si="10"/>
        <v/>
      </c>
      <c r="U118" s="100"/>
      <c r="V118" s="98"/>
      <c r="W118" s="98"/>
      <c r="X118" s="98"/>
      <c r="Y118" s="98"/>
    </row>
    <row r="119" spans="2:25" s="4" customFormat="1" ht="15.75" x14ac:dyDescent="0.25">
      <c r="B119" s="95">
        <f t="shared" si="13"/>
        <v>115</v>
      </c>
      <c r="C119" s="95"/>
      <c r="D119" s="95"/>
      <c r="E119" s="96"/>
      <c r="F119" s="96"/>
      <c r="G119" s="95"/>
      <c r="H119" s="115"/>
      <c r="I119" s="112"/>
      <c r="J119" s="112"/>
      <c r="K119" s="113" t="str">
        <f t="shared" si="11"/>
        <v/>
      </c>
      <c r="L119" s="112"/>
      <c r="M119" s="113" t="str">
        <f t="shared" si="12"/>
        <v/>
      </c>
      <c r="N119" s="112"/>
      <c r="O119" s="112">
        <v>0</v>
      </c>
      <c r="P119" s="116">
        <v>0</v>
      </c>
      <c r="Q119" s="126" t="str">
        <f t="shared" si="7"/>
        <v/>
      </c>
      <c r="R119" s="114">
        <f t="shared" si="8"/>
        <v>0</v>
      </c>
      <c r="S119" s="126" t="str">
        <f t="shared" si="9"/>
        <v/>
      </c>
      <c r="T119" s="126" t="str">
        <f t="shared" si="10"/>
        <v/>
      </c>
      <c r="U119" s="100"/>
      <c r="V119" s="98"/>
      <c r="W119" s="98"/>
      <c r="X119" s="98"/>
      <c r="Y119" s="98"/>
    </row>
    <row r="120" spans="2:25" s="4" customFormat="1" ht="15.75" x14ac:dyDescent="0.25">
      <c r="B120" s="95">
        <f t="shared" si="13"/>
        <v>116</v>
      </c>
      <c r="C120" s="95"/>
      <c r="D120" s="95"/>
      <c r="E120" s="96"/>
      <c r="F120" s="96"/>
      <c r="G120" s="95"/>
      <c r="H120" s="115"/>
      <c r="I120" s="112"/>
      <c r="J120" s="112"/>
      <c r="K120" s="113" t="str">
        <f t="shared" si="11"/>
        <v/>
      </c>
      <c r="L120" s="112"/>
      <c r="M120" s="113" t="str">
        <f t="shared" si="12"/>
        <v/>
      </c>
      <c r="N120" s="112"/>
      <c r="O120" s="112">
        <v>0</v>
      </c>
      <c r="P120" s="116">
        <v>0</v>
      </c>
      <c r="Q120" s="126" t="str">
        <f t="shared" si="7"/>
        <v/>
      </c>
      <c r="R120" s="114">
        <f t="shared" si="8"/>
        <v>0</v>
      </c>
      <c r="S120" s="126" t="str">
        <f t="shared" si="9"/>
        <v/>
      </c>
      <c r="T120" s="126" t="str">
        <f t="shared" si="10"/>
        <v/>
      </c>
      <c r="U120" s="100"/>
      <c r="V120" s="98"/>
      <c r="W120" s="98"/>
      <c r="X120" s="98"/>
      <c r="Y120" s="98"/>
    </row>
    <row r="121" spans="2:25" s="4" customFormat="1" ht="15.75" x14ac:dyDescent="0.25">
      <c r="B121" s="95">
        <f t="shared" si="13"/>
        <v>117</v>
      </c>
      <c r="C121" s="95"/>
      <c r="D121" s="95"/>
      <c r="E121" s="96"/>
      <c r="F121" s="96"/>
      <c r="G121" s="95"/>
      <c r="H121" s="115"/>
      <c r="I121" s="112"/>
      <c r="J121" s="112"/>
      <c r="K121" s="113" t="str">
        <f t="shared" si="11"/>
        <v/>
      </c>
      <c r="L121" s="112"/>
      <c r="M121" s="113" t="str">
        <f t="shared" si="12"/>
        <v/>
      </c>
      <c r="N121" s="112"/>
      <c r="O121" s="112">
        <v>0</v>
      </c>
      <c r="P121" s="116">
        <v>0</v>
      </c>
      <c r="Q121" s="126" t="str">
        <f t="shared" si="7"/>
        <v/>
      </c>
      <c r="R121" s="114">
        <f t="shared" si="8"/>
        <v>0</v>
      </c>
      <c r="S121" s="126" t="str">
        <f t="shared" si="9"/>
        <v/>
      </c>
      <c r="T121" s="126" t="str">
        <f t="shared" si="10"/>
        <v/>
      </c>
      <c r="U121" s="100"/>
      <c r="V121" s="98"/>
      <c r="W121" s="98"/>
      <c r="X121" s="98"/>
      <c r="Y121" s="98"/>
    </row>
    <row r="122" spans="2:25" s="4" customFormat="1" ht="15.75" x14ac:dyDescent="0.25">
      <c r="B122" s="95">
        <f t="shared" si="13"/>
        <v>118</v>
      </c>
      <c r="C122" s="95"/>
      <c r="D122" s="95"/>
      <c r="E122" s="96"/>
      <c r="F122" s="96"/>
      <c r="G122" s="95"/>
      <c r="H122" s="115"/>
      <c r="I122" s="112"/>
      <c r="J122" s="112"/>
      <c r="K122" s="113" t="str">
        <f t="shared" si="11"/>
        <v/>
      </c>
      <c r="L122" s="112"/>
      <c r="M122" s="113" t="str">
        <f t="shared" si="12"/>
        <v/>
      </c>
      <c r="N122" s="112"/>
      <c r="O122" s="112">
        <v>0</v>
      </c>
      <c r="P122" s="116">
        <v>0</v>
      </c>
      <c r="Q122" s="126" t="str">
        <f t="shared" si="7"/>
        <v/>
      </c>
      <c r="R122" s="114">
        <f t="shared" si="8"/>
        <v>0</v>
      </c>
      <c r="S122" s="126" t="str">
        <f t="shared" si="9"/>
        <v/>
      </c>
      <c r="T122" s="126" t="str">
        <f t="shared" si="10"/>
        <v/>
      </c>
      <c r="U122" s="100"/>
      <c r="V122" s="98"/>
      <c r="W122" s="98"/>
      <c r="X122" s="98"/>
      <c r="Y122" s="98"/>
    </row>
    <row r="123" spans="2:25" s="4" customFormat="1" ht="15.75" x14ac:dyDescent="0.25">
      <c r="B123" s="95">
        <f t="shared" si="13"/>
        <v>119</v>
      </c>
      <c r="C123" s="95"/>
      <c r="D123" s="95"/>
      <c r="E123" s="96"/>
      <c r="F123" s="96"/>
      <c r="G123" s="95"/>
      <c r="H123" s="115"/>
      <c r="I123" s="112"/>
      <c r="J123" s="112"/>
      <c r="K123" s="113" t="str">
        <f t="shared" si="11"/>
        <v/>
      </c>
      <c r="L123" s="112"/>
      <c r="M123" s="113" t="str">
        <f t="shared" si="12"/>
        <v/>
      </c>
      <c r="N123" s="112"/>
      <c r="O123" s="112">
        <v>0</v>
      </c>
      <c r="P123" s="116">
        <v>0</v>
      </c>
      <c r="Q123" s="126" t="str">
        <f t="shared" si="7"/>
        <v/>
      </c>
      <c r="R123" s="114">
        <f t="shared" si="8"/>
        <v>0</v>
      </c>
      <c r="S123" s="126" t="str">
        <f t="shared" si="9"/>
        <v/>
      </c>
      <c r="T123" s="126" t="str">
        <f t="shared" si="10"/>
        <v/>
      </c>
      <c r="U123" s="100"/>
      <c r="V123" s="98"/>
      <c r="W123" s="98"/>
      <c r="X123" s="98"/>
      <c r="Y123" s="98"/>
    </row>
    <row r="124" spans="2:25" s="4" customFormat="1" ht="15.75" x14ac:dyDescent="0.25">
      <c r="B124" s="95">
        <f t="shared" si="13"/>
        <v>120</v>
      </c>
      <c r="C124" s="95"/>
      <c r="D124" s="95"/>
      <c r="E124" s="96"/>
      <c r="F124" s="96"/>
      <c r="G124" s="95"/>
      <c r="H124" s="115"/>
      <c r="I124" s="112"/>
      <c r="J124" s="112"/>
      <c r="K124" s="113" t="str">
        <f t="shared" si="11"/>
        <v/>
      </c>
      <c r="L124" s="112"/>
      <c r="M124" s="113" t="str">
        <f t="shared" si="12"/>
        <v/>
      </c>
      <c r="N124" s="112"/>
      <c r="O124" s="112">
        <v>0</v>
      </c>
      <c r="P124" s="116">
        <v>0</v>
      </c>
      <c r="Q124" s="126" t="str">
        <f t="shared" si="7"/>
        <v/>
      </c>
      <c r="R124" s="114">
        <f t="shared" si="8"/>
        <v>0</v>
      </c>
      <c r="S124" s="126" t="str">
        <f t="shared" si="9"/>
        <v/>
      </c>
      <c r="T124" s="126" t="str">
        <f t="shared" si="10"/>
        <v/>
      </c>
      <c r="U124" s="100"/>
      <c r="V124" s="98"/>
      <c r="W124" s="98"/>
      <c r="X124" s="98"/>
      <c r="Y124" s="98"/>
    </row>
    <row r="125" spans="2:25" s="4" customFormat="1" ht="15.75" x14ac:dyDescent="0.25">
      <c r="B125" s="95">
        <f t="shared" si="13"/>
        <v>121</v>
      </c>
      <c r="C125" s="95"/>
      <c r="D125" s="95"/>
      <c r="E125" s="96"/>
      <c r="F125" s="96"/>
      <c r="G125" s="95"/>
      <c r="H125" s="115"/>
      <c r="I125" s="112"/>
      <c r="J125" s="112"/>
      <c r="K125" s="113" t="str">
        <f t="shared" si="11"/>
        <v/>
      </c>
      <c r="L125" s="112"/>
      <c r="M125" s="113" t="str">
        <f t="shared" si="12"/>
        <v/>
      </c>
      <c r="N125" s="112"/>
      <c r="O125" s="112">
        <v>0</v>
      </c>
      <c r="P125" s="116">
        <v>0</v>
      </c>
      <c r="Q125" s="126" t="str">
        <f t="shared" si="7"/>
        <v/>
      </c>
      <c r="R125" s="114">
        <f t="shared" si="8"/>
        <v>0</v>
      </c>
      <c r="S125" s="126" t="str">
        <f t="shared" si="9"/>
        <v/>
      </c>
      <c r="T125" s="126" t="str">
        <f t="shared" si="10"/>
        <v/>
      </c>
      <c r="U125" s="100"/>
      <c r="V125" s="98"/>
      <c r="W125" s="98"/>
      <c r="X125" s="98"/>
      <c r="Y125" s="98"/>
    </row>
    <row r="126" spans="2:25" s="4" customFormat="1" ht="15.75" x14ac:dyDescent="0.25">
      <c r="B126" s="95">
        <f t="shared" si="13"/>
        <v>122</v>
      </c>
      <c r="C126" s="95"/>
      <c r="D126" s="95"/>
      <c r="E126" s="96"/>
      <c r="F126" s="96"/>
      <c r="G126" s="95"/>
      <c r="H126" s="115"/>
      <c r="I126" s="112"/>
      <c r="J126" s="112"/>
      <c r="K126" s="113" t="str">
        <f t="shared" si="11"/>
        <v/>
      </c>
      <c r="L126" s="112"/>
      <c r="M126" s="113" t="str">
        <f t="shared" si="12"/>
        <v/>
      </c>
      <c r="N126" s="112"/>
      <c r="O126" s="112">
        <v>0</v>
      </c>
      <c r="P126" s="116">
        <v>0</v>
      </c>
      <c r="Q126" s="126" t="str">
        <f t="shared" si="7"/>
        <v/>
      </c>
      <c r="R126" s="114">
        <f t="shared" si="8"/>
        <v>0</v>
      </c>
      <c r="S126" s="126" t="str">
        <f t="shared" si="9"/>
        <v/>
      </c>
      <c r="T126" s="126" t="str">
        <f t="shared" si="10"/>
        <v/>
      </c>
      <c r="U126" s="100"/>
      <c r="V126" s="98"/>
      <c r="W126" s="98"/>
      <c r="X126" s="98"/>
      <c r="Y126" s="98"/>
    </row>
    <row r="127" spans="2:25" s="4" customFormat="1" ht="15.75" x14ac:dyDescent="0.25">
      <c r="B127" s="95">
        <f t="shared" si="13"/>
        <v>123</v>
      </c>
      <c r="C127" s="95"/>
      <c r="D127" s="95"/>
      <c r="E127" s="96"/>
      <c r="F127" s="96"/>
      <c r="G127" s="95"/>
      <c r="H127" s="115"/>
      <c r="I127" s="112"/>
      <c r="J127" s="112"/>
      <c r="K127" s="113" t="str">
        <f t="shared" si="11"/>
        <v/>
      </c>
      <c r="L127" s="112"/>
      <c r="M127" s="113" t="str">
        <f t="shared" si="12"/>
        <v/>
      </c>
      <c r="N127" s="112"/>
      <c r="O127" s="112">
        <v>0</v>
      </c>
      <c r="P127" s="116">
        <v>0</v>
      </c>
      <c r="Q127" s="126" t="str">
        <f t="shared" si="7"/>
        <v/>
      </c>
      <c r="R127" s="114">
        <f t="shared" si="8"/>
        <v>0</v>
      </c>
      <c r="S127" s="126" t="str">
        <f t="shared" si="9"/>
        <v/>
      </c>
      <c r="T127" s="126" t="str">
        <f t="shared" si="10"/>
        <v/>
      </c>
      <c r="U127" s="100"/>
      <c r="V127" s="98"/>
      <c r="W127" s="98"/>
      <c r="X127" s="98"/>
      <c r="Y127" s="98"/>
    </row>
    <row r="128" spans="2:25" s="4" customFormat="1" ht="15.75" x14ac:dyDescent="0.25">
      <c r="B128" s="95">
        <f t="shared" si="13"/>
        <v>124</v>
      </c>
      <c r="C128" s="95"/>
      <c r="D128" s="95"/>
      <c r="E128" s="96"/>
      <c r="F128" s="96"/>
      <c r="G128" s="95"/>
      <c r="H128" s="115"/>
      <c r="I128" s="112"/>
      <c r="J128" s="112"/>
      <c r="K128" s="113" t="str">
        <f t="shared" si="11"/>
        <v/>
      </c>
      <c r="L128" s="112"/>
      <c r="M128" s="113" t="str">
        <f t="shared" si="12"/>
        <v/>
      </c>
      <c r="N128" s="112"/>
      <c r="O128" s="112">
        <v>0</v>
      </c>
      <c r="P128" s="116">
        <v>0</v>
      </c>
      <c r="Q128" s="126" t="str">
        <f t="shared" si="7"/>
        <v/>
      </c>
      <c r="R128" s="114">
        <f t="shared" si="8"/>
        <v>0</v>
      </c>
      <c r="S128" s="126" t="str">
        <f t="shared" si="9"/>
        <v/>
      </c>
      <c r="T128" s="126" t="str">
        <f t="shared" si="10"/>
        <v/>
      </c>
      <c r="U128" s="100"/>
      <c r="V128" s="98"/>
      <c r="W128" s="98"/>
      <c r="X128" s="98"/>
      <c r="Y128" s="98"/>
    </row>
    <row r="129" spans="2:25" s="4" customFormat="1" ht="15.75" x14ac:dyDescent="0.25">
      <c r="B129" s="95">
        <f t="shared" si="13"/>
        <v>125</v>
      </c>
      <c r="C129" s="95"/>
      <c r="D129" s="95"/>
      <c r="E129" s="96"/>
      <c r="F129" s="96"/>
      <c r="G129" s="95"/>
      <c r="H129" s="115"/>
      <c r="I129" s="112"/>
      <c r="J129" s="112"/>
      <c r="K129" s="113" t="str">
        <f t="shared" si="11"/>
        <v/>
      </c>
      <c r="L129" s="112"/>
      <c r="M129" s="113" t="str">
        <f t="shared" si="12"/>
        <v/>
      </c>
      <c r="N129" s="112"/>
      <c r="O129" s="112">
        <v>0</v>
      </c>
      <c r="P129" s="116">
        <v>0</v>
      </c>
      <c r="Q129" s="126" t="str">
        <f t="shared" si="7"/>
        <v/>
      </c>
      <c r="R129" s="114">
        <f t="shared" si="8"/>
        <v>0</v>
      </c>
      <c r="S129" s="126" t="str">
        <f t="shared" si="9"/>
        <v/>
      </c>
      <c r="T129" s="126" t="str">
        <f t="shared" si="10"/>
        <v/>
      </c>
      <c r="U129" s="100"/>
      <c r="V129" s="98"/>
      <c r="W129" s="98"/>
      <c r="X129" s="98"/>
      <c r="Y129" s="98"/>
    </row>
    <row r="130" spans="2:25" s="4" customFormat="1" ht="15.75" x14ac:dyDescent="0.25">
      <c r="B130" s="95">
        <f t="shared" si="13"/>
        <v>126</v>
      </c>
      <c r="C130" s="95"/>
      <c r="D130" s="95"/>
      <c r="E130" s="96"/>
      <c r="F130" s="96"/>
      <c r="G130" s="95"/>
      <c r="H130" s="115"/>
      <c r="I130" s="112"/>
      <c r="J130" s="112"/>
      <c r="K130" s="113" t="str">
        <f t="shared" si="11"/>
        <v/>
      </c>
      <c r="L130" s="112"/>
      <c r="M130" s="113" t="str">
        <f t="shared" si="12"/>
        <v/>
      </c>
      <c r="N130" s="112"/>
      <c r="O130" s="112">
        <v>0</v>
      </c>
      <c r="P130" s="116">
        <v>0</v>
      </c>
      <c r="Q130" s="126" t="str">
        <f t="shared" ref="Q130:Q132" si="14">IF(P130,P130/I130,"")</f>
        <v/>
      </c>
      <c r="R130" s="114">
        <f t="shared" ref="R130:R133" si="15">J130-P130</f>
        <v>0</v>
      </c>
      <c r="S130" s="126" t="str">
        <f t="shared" ref="S130:S189" si="16">IF(R130,R130/I130,"")</f>
        <v/>
      </c>
      <c r="T130" s="126" t="str">
        <f t="shared" ref="T130:T133" si="17">IF(L130,K130-M130,"")</f>
        <v/>
      </c>
      <c r="U130" s="100"/>
      <c r="V130" s="98"/>
      <c r="W130" s="98"/>
      <c r="X130" s="98"/>
      <c r="Y130" s="98"/>
    </row>
    <row r="131" spans="2:25" s="4" customFormat="1" ht="15.75" x14ac:dyDescent="0.25">
      <c r="B131" s="95">
        <f t="shared" si="13"/>
        <v>127</v>
      </c>
      <c r="C131" s="95"/>
      <c r="D131" s="95"/>
      <c r="E131" s="96"/>
      <c r="F131" s="96"/>
      <c r="G131" s="95"/>
      <c r="H131" s="115"/>
      <c r="I131" s="112"/>
      <c r="J131" s="112"/>
      <c r="K131" s="113" t="str">
        <f t="shared" si="11"/>
        <v/>
      </c>
      <c r="L131" s="112"/>
      <c r="M131" s="113" t="str">
        <f t="shared" si="12"/>
        <v/>
      </c>
      <c r="N131" s="112"/>
      <c r="O131" s="112">
        <v>0</v>
      </c>
      <c r="P131" s="116">
        <v>0</v>
      </c>
      <c r="Q131" s="126" t="str">
        <f t="shared" si="14"/>
        <v/>
      </c>
      <c r="R131" s="114">
        <f t="shared" si="15"/>
        <v>0</v>
      </c>
      <c r="S131" s="126" t="str">
        <f t="shared" si="16"/>
        <v/>
      </c>
      <c r="T131" s="126" t="str">
        <f t="shared" si="17"/>
        <v/>
      </c>
      <c r="U131" s="100"/>
      <c r="V131" s="98"/>
      <c r="W131" s="98"/>
      <c r="X131" s="98"/>
      <c r="Y131" s="98"/>
    </row>
    <row r="132" spans="2:25" s="4" customFormat="1" ht="15.75" x14ac:dyDescent="0.25">
      <c r="B132" s="95">
        <f t="shared" si="13"/>
        <v>128</v>
      </c>
      <c r="C132" s="95"/>
      <c r="D132" s="95"/>
      <c r="E132" s="96"/>
      <c r="F132" s="96"/>
      <c r="G132" s="95"/>
      <c r="H132" s="115"/>
      <c r="I132" s="112"/>
      <c r="J132" s="112"/>
      <c r="K132" s="113" t="str">
        <f t="shared" si="11"/>
        <v/>
      </c>
      <c r="L132" s="112"/>
      <c r="M132" s="113" t="str">
        <f t="shared" si="12"/>
        <v/>
      </c>
      <c r="N132" s="112"/>
      <c r="O132" s="112">
        <v>0</v>
      </c>
      <c r="P132" s="116">
        <v>0</v>
      </c>
      <c r="Q132" s="126" t="str">
        <f t="shared" si="14"/>
        <v/>
      </c>
      <c r="R132" s="114">
        <f t="shared" si="15"/>
        <v>0</v>
      </c>
      <c r="S132" s="126" t="str">
        <f t="shared" si="16"/>
        <v/>
      </c>
      <c r="T132" s="126" t="str">
        <f t="shared" si="17"/>
        <v/>
      </c>
      <c r="U132" s="100"/>
      <c r="V132" s="98"/>
      <c r="W132" s="98"/>
      <c r="X132" s="98"/>
      <c r="Y132" s="98"/>
    </row>
    <row r="133" spans="2:25" s="4" customFormat="1" ht="15.75" x14ac:dyDescent="0.25">
      <c r="B133" s="95">
        <f t="shared" si="13"/>
        <v>129</v>
      </c>
      <c r="C133" s="95"/>
      <c r="D133" s="95"/>
      <c r="E133" s="96"/>
      <c r="F133" s="96"/>
      <c r="G133" s="95"/>
      <c r="H133" s="115"/>
      <c r="I133" s="112"/>
      <c r="J133" s="112"/>
      <c r="K133" s="113" t="str">
        <f t="shared" ref="K133:K196" si="18">IF(J133,(I133-J133)/I133,"")</f>
        <v/>
      </c>
      <c r="L133" s="112"/>
      <c r="M133" s="113" t="str">
        <f t="shared" ref="M133:M196" si="19">IF(J133,L133/I133,"")</f>
        <v/>
      </c>
      <c r="N133" s="112"/>
      <c r="O133" s="112">
        <v>0</v>
      </c>
      <c r="P133" s="116">
        <v>0</v>
      </c>
      <c r="Q133" s="126" t="str">
        <f t="shared" ref="Q133:Q196" si="20">IF(P133,P133/I133,"")</f>
        <v/>
      </c>
      <c r="R133" s="114">
        <f t="shared" si="15"/>
        <v>0</v>
      </c>
      <c r="S133" s="126" t="str">
        <f t="shared" si="16"/>
        <v/>
      </c>
      <c r="T133" s="126" t="str">
        <f t="shared" si="17"/>
        <v/>
      </c>
      <c r="U133" s="100"/>
      <c r="V133" s="98"/>
      <c r="W133" s="98"/>
      <c r="X133" s="98"/>
      <c r="Y133" s="98"/>
    </row>
    <row r="134" spans="2:25" s="4" customFormat="1" ht="15.75" x14ac:dyDescent="0.25">
      <c r="B134" s="95">
        <f t="shared" ref="B134:B197" si="21">B133+1</f>
        <v>130</v>
      </c>
      <c r="C134" s="95"/>
      <c r="D134" s="95"/>
      <c r="E134" s="96"/>
      <c r="F134" s="96"/>
      <c r="G134" s="95"/>
      <c r="H134" s="115"/>
      <c r="I134" s="112"/>
      <c r="J134" s="112"/>
      <c r="K134" s="113" t="str">
        <f t="shared" si="18"/>
        <v/>
      </c>
      <c r="L134" s="112"/>
      <c r="M134" s="113" t="str">
        <f t="shared" si="19"/>
        <v/>
      </c>
      <c r="N134" s="112"/>
      <c r="O134" s="112">
        <v>0</v>
      </c>
      <c r="P134" s="116">
        <v>0</v>
      </c>
      <c r="Q134" s="126" t="str">
        <f t="shared" si="20"/>
        <v/>
      </c>
      <c r="R134" s="114">
        <f t="shared" ref="R134:R197" si="22">J134-P134</f>
        <v>0</v>
      </c>
      <c r="S134" s="126" t="str">
        <f t="shared" si="16"/>
        <v/>
      </c>
      <c r="T134" s="126" t="str">
        <f t="shared" ref="T134:T197" si="23">IF(L134,K134-M134,"")</f>
        <v/>
      </c>
      <c r="U134" s="100"/>
      <c r="V134" s="98"/>
      <c r="W134" s="98"/>
      <c r="X134" s="98"/>
      <c r="Y134" s="98"/>
    </row>
    <row r="135" spans="2:25" s="4" customFormat="1" ht="15.75" x14ac:dyDescent="0.25">
      <c r="B135" s="95">
        <f t="shared" si="21"/>
        <v>131</v>
      </c>
      <c r="C135" s="95"/>
      <c r="D135" s="95"/>
      <c r="E135" s="96"/>
      <c r="F135" s="96"/>
      <c r="G135" s="95"/>
      <c r="H135" s="115"/>
      <c r="I135" s="112"/>
      <c r="J135" s="112"/>
      <c r="K135" s="113" t="str">
        <f t="shared" si="18"/>
        <v/>
      </c>
      <c r="L135" s="112"/>
      <c r="M135" s="113" t="str">
        <f t="shared" si="19"/>
        <v/>
      </c>
      <c r="N135" s="112"/>
      <c r="O135" s="112">
        <v>0</v>
      </c>
      <c r="P135" s="116">
        <v>0</v>
      </c>
      <c r="Q135" s="126" t="str">
        <f t="shared" si="20"/>
        <v/>
      </c>
      <c r="R135" s="114">
        <f t="shared" si="22"/>
        <v>0</v>
      </c>
      <c r="S135" s="126" t="str">
        <f t="shared" si="16"/>
        <v/>
      </c>
      <c r="T135" s="126" t="str">
        <f t="shared" si="23"/>
        <v/>
      </c>
      <c r="U135" s="100"/>
      <c r="V135" s="98"/>
      <c r="W135" s="98"/>
      <c r="X135" s="98"/>
      <c r="Y135" s="98"/>
    </row>
    <row r="136" spans="2:25" s="4" customFormat="1" ht="15.75" x14ac:dyDescent="0.25">
      <c r="B136" s="95">
        <f t="shared" si="21"/>
        <v>132</v>
      </c>
      <c r="C136" s="95"/>
      <c r="D136" s="95"/>
      <c r="E136" s="96"/>
      <c r="F136" s="96"/>
      <c r="G136" s="95"/>
      <c r="H136" s="115"/>
      <c r="I136" s="112"/>
      <c r="J136" s="112"/>
      <c r="K136" s="113" t="str">
        <f t="shared" si="18"/>
        <v/>
      </c>
      <c r="L136" s="112"/>
      <c r="M136" s="113" t="str">
        <f t="shared" si="19"/>
        <v/>
      </c>
      <c r="N136" s="112"/>
      <c r="O136" s="112">
        <v>0</v>
      </c>
      <c r="P136" s="116">
        <v>0</v>
      </c>
      <c r="Q136" s="126" t="str">
        <f t="shared" si="20"/>
        <v/>
      </c>
      <c r="R136" s="114">
        <f t="shared" si="22"/>
        <v>0</v>
      </c>
      <c r="S136" s="126" t="str">
        <f t="shared" si="16"/>
        <v/>
      </c>
      <c r="T136" s="126" t="str">
        <f t="shared" si="23"/>
        <v/>
      </c>
      <c r="U136" s="100"/>
      <c r="V136" s="98"/>
      <c r="W136" s="98"/>
      <c r="X136" s="98"/>
      <c r="Y136" s="98"/>
    </row>
    <row r="137" spans="2:25" s="4" customFormat="1" ht="15.75" x14ac:dyDescent="0.25">
      <c r="B137" s="95">
        <f t="shared" si="21"/>
        <v>133</v>
      </c>
      <c r="C137" s="95"/>
      <c r="D137" s="95"/>
      <c r="E137" s="96"/>
      <c r="F137" s="96"/>
      <c r="G137" s="95"/>
      <c r="H137" s="115"/>
      <c r="I137" s="112"/>
      <c r="J137" s="112"/>
      <c r="K137" s="113" t="str">
        <f t="shared" si="18"/>
        <v/>
      </c>
      <c r="L137" s="112"/>
      <c r="M137" s="113" t="str">
        <f t="shared" si="19"/>
        <v/>
      </c>
      <c r="N137" s="112"/>
      <c r="O137" s="112">
        <v>0</v>
      </c>
      <c r="P137" s="116">
        <v>0</v>
      </c>
      <c r="Q137" s="126" t="str">
        <f t="shared" si="20"/>
        <v/>
      </c>
      <c r="R137" s="114">
        <f t="shared" si="22"/>
        <v>0</v>
      </c>
      <c r="S137" s="126" t="str">
        <f t="shared" si="16"/>
        <v/>
      </c>
      <c r="T137" s="126" t="str">
        <f t="shared" si="23"/>
        <v/>
      </c>
      <c r="U137" s="100"/>
      <c r="V137" s="98"/>
      <c r="W137" s="98"/>
      <c r="X137" s="98"/>
      <c r="Y137" s="98"/>
    </row>
    <row r="138" spans="2:25" s="4" customFormat="1" ht="15.75" x14ac:dyDescent="0.25">
      <c r="B138" s="95">
        <f t="shared" si="21"/>
        <v>134</v>
      </c>
      <c r="C138" s="95"/>
      <c r="D138" s="95"/>
      <c r="E138" s="96"/>
      <c r="F138" s="96"/>
      <c r="G138" s="95"/>
      <c r="H138" s="115"/>
      <c r="I138" s="112"/>
      <c r="J138" s="112"/>
      <c r="K138" s="113" t="str">
        <f t="shared" si="18"/>
        <v/>
      </c>
      <c r="L138" s="112"/>
      <c r="M138" s="113" t="str">
        <f t="shared" si="19"/>
        <v/>
      </c>
      <c r="N138" s="112"/>
      <c r="O138" s="112">
        <v>0</v>
      </c>
      <c r="P138" s="116">
        <v>0</v>
      </c>
      <c r="Q138" s="126" t="str">
        <f t="shared" si="20"/>
        <v/>
      </c>
      <c r="R138" s="114">
        <f t="shared" si="22"/>
        <v>0</v>
      </c>
      <c r="S138" s="126" t="str">
        <f t="shared" si="16"/>
        <v/>
      </c>
      <c r="T138" s="126" t="str">
        <f t="shared" si="23"/>
        <v/>
      </c>
      <c r="U138" s="100"/>
      <c r="V138" s="98"/>
      <c r="W138" s="98"/>
      <c r="X138" s="98"/>
      <c r="Y138" s="98"/>
    </row>
    <row r="139" spans="2:25" s="4" customFormat="1" ht="15.75" x14ac:dyDescent="0.25">
      <c r="B139" s="95">
        <f t="shared" si="21"/>
        <v>135</v>
      </c>
      <c r="C139" s="95"/>
      <c r="D139" s="95"/>
      <c r="E139" s="96"/>
      <c r="F139" s="96"/>
      <c r="G139" s="95"/>
      <c r="H139" s="115"/>
      <c r="I139" s="112"/>
      <c r="J139" s="112"/>
      <c r="K139" s="113" t="str">
        <f t="shared" si="18"/>
        <v/>
      </c>
      <c r="L139" s="112"/>
      <c r="M139" s="113" t="str">
        <f t="shared" si="19"/>
        <v/>
      </c>
      <c r="N139" s="112"/>
      <c r="O139" s="112">
        <v>0</v>
      </c>
      <c r="P139" s="116">
        <v>0</v>
      </c>
      <c r="Q139" s="126" t="str">
        <f t="shared" si="20"/>
        <v/>
      </c>
      <c r="R139" s="114">
        <f t="shared" si="22"/>
        <v>0</v>
      </c>
      <c r="S139" s="126" t="str">
        <f t="shared" si="16"/>
        <v/>
      </c>
      <c r="T139" s="126" t="str">
        <f t="shared" si="23"/>
        <v/>
      </c>
      <c r="U139" s="100"/>
      <c r="V139" s="98"/>
      <c r="W139" s="98"/>
      <c r="X139" s="98"/>
      <c r="Y139" s="98"/>
    </row>
    <row r="140" spans="2:25" s="4" customFormat="1" ht="15.75" x14ac:dyDescent="0.25">
      <c r="B140" s="95">
        <f t="shared" si="21"/>
        <v>136</v>
      </c>
      <c r="C140" s="95"/>
      <c r="D140" s="95"/>
      <c r="E140" s="96"/>
      <c r="F140" s="96"/>
      <c r="G140" s="95"/>
      <c r="H140" s="115"/>
      <c r="I140" s="112"/>
      <c r="J140" s="112"/>
      <c r="K140" s="113" t="str">
        <f t="shared" si="18"/>
        <v/>
      </c>
      <c r="L140" s="112"/>
      <c r="M140" s="113" t="str">
        <f t="shared" si="19"/>
        <v/>
      </c>
      <c r="N140" s="112"/>
      <c r="O140" s="112">
        <v>0</v>
      </c>
      <c r="P140" s="116">
        <v>0</v>
      </c>
      <c r="Q140" s="126" t="str">
        <f t="shared" si="20"/>
        <v/>
      </c>
      <c r="R140" s="114">
        <f t="shared" si="22"/>
        <v>0</v>
      </c>
      <c r="S140" s="126" t="str">
        <f t="shared" si="16"/>
        <v/>
      </c>
      <c r="T140" s="126" t="str">
        <f t="shared" si="23"/>
        <v/>
      </c>
      <c r="U140" s="100"/>
      <c r="V140" s="98"/>
      <c r="W140" s="98"/>
      <c r="X140" s="98"/>
      <c r="Y140" s="98"/>
    </row>
    <row r="141" spans="2:25" s="4" customFormat="1" ht="15.75" x14ac:dyDescent="0.25">
      <c r="B141" s="95">
        <f t="shared" si="21"/>
        <v>137</v>
      </c>
      <c r="C141" s="95"/>
      <c r="D141" s="95"/>
      <c r="E141" s="96"/>
      <c r="F141" s="96"/>
      <c r="G141" s="95"/>
      <c r="H141" s="115"/>
      <c r="I141" s="112"/>
      <c r="J141" s="112"/>
      <c r="K141" s="113" t="str">
        <f t="shared" si="18"/>
        <v/>
      </c>
      <c r="L141" s="112"/>
      <c r="M141" s="113" t="str">
        <f t="shared" si="19"/>
        <v/>
      </c>
      <c r="N141" s="112"/>
      <c r="O141" s="112">
        <v>0</v>
      </c>
      <c r="P141" s="116">
        <v>0</v>
      </c>
      <c r="Q141" s="126" t="str">
        <f t="shared" si="20"/>
        <v/>
      </c>
      <c r="R141" s="114">
        <f t="shared" si="22"/>
        <v>0</v>
      </c>
      <c r="S141" s="126" t="str">
        <f t="shared" si="16"/>
        <v/>
      </c>
      <c r="T141" s="126" t="str">
        <f t="shared" si="23"/>
        <v/>
      </c>
      <c r="U141" s="100"/>
      <c r="V141" s="98"/>
      <c r="W141" s="98"/>
      <c r="X141" s="98"/>
      <c r="Y141" s="98"/>
    </row>
    <row r="142" spans="2:25" s="4" customFormat="1" ht="15.75" x14ac:dyDescent="0.25">
      <c r="B142" s="95">
        <f t="shared" si="21"/>
        <v>138</v>
      </c>
      <c r="C142" s="95"/>
      <c r="D142" s="95"/>
      <c r="E142" s="96"/>
      <c r="F142" s="96"/>
      <c r="G142" s="95"/>
      <c r="H142" s="115"/>
      <c r="I142" s="112"/>
      <c r="J142" s="112"/>
      <c r="K142" s="113" t="str">
        <f t="shared" si="18"/>
        <v/>
      </c>
      <c r="L142" s="112"/>
      <c r="M142" s="113" t="str">
        <f t="shared" si="19"/>
        <v/>
      </c>
      <c r="N142" s="112"/>
      <c r="O142" s="112">
        <v>0</v>
      </c>
      <c r="P142" s="116">
        <v>0</v>
      </c>
      <c r="Q142" s="126" t="str">
        <f t="shared" si="20"/>
        <v/>
      </c>
      <c r="R142" s="114">
        <f t="shared" si="22"/>
        <v>0</v>
      </c>
      <c r="S142" s="126" t="str">
        <f t="shared" si="16"/>
        <v/>
      </c>
      <c r="T142" s="126" t="str">
        <f t="shared" si="23"/>
        <v/>
      </c>
      <c r="U142" s="100"/>
      <c r="V142" s="98"/>
      <c r="W142" s="98"/>
      <c r="X142" s="98"/>
      <c r="Y142" s="98"/>
    </row>
    <row r="143" spans="2:25" s="4" customFormat="1" ht="15.75" x14ac:dyDescent="0.25">
      <c r="B143" s="95">
        <f t="shared" si="21"/>
        <v>139</v>
      </c>
      <c r="C143" s="95"/>
      <c r="D143" s="95"/>
      <c r="E143" s="96"/>
      <c r="F143" s="96"/>
      <c r="G143" s="95"/>
      <c r="H143" s="115"/>
      <c r="I143" s="112"/>
      <c r="J143" s="112"/>
      <c r="K143" s="113" t="str">
        <f t="shared" si="18"/>
        <v/>
      </c>
      <c r="L143" s="112"/>
      <c r="M143" s="113" t="str">
        <f t="shared" si="19"/>
        <v/>
      </c>
      <c r="N143" s="112"/>
      <c r="O143" s="112">
        <v>0</v>
      </c>
      <c r="P143" s="116">
        <v>0</v>
      </c>
      <c r="Q143" s="126" t="str">
        <f t="shared" si="20"/>
        <v/>
      </c>
      <c r="R143" s="114">
        <f t="shared" si="22"/>
        <v>0</v>
      </c>
      <c r="S143" s="126" t="str">
        <f t="shared" si="16"/>
        <v/>
      </c>
      <c r="T143" s="126" t="str">
        <f t="shared" si="23"/>
        <v/>
      </c>
      <c r="U143" s="100"/>
      <c r="V143" s="98"/>
      <c r="W143" s="98"/>
      <c r="X143" s="98"/>
      <c r="Y143" s="98"/>
    </row>
    <row r="144" spans="2:25" s="4" customFormat="1" ht="15.75" x14ac:dyDescent="0.25">
      <c r="B144" s="95">
        <f t="shared" si="21"/>
        <v>140</v>
      </c>
      <c r="C144" s="95"/>
      <c r="D144" s="95"/>
      <c r="E144" s="96"/>
      <c r="F144" s="96"/>
      <c r="G144" s="95"/>
      <c r="H144" s="115"/>
      <c r="I144" s="112"/>
      <c r="J144" s="112"/>
      <c r="K144" s="113" t="str">
        <f t="shared" si="18"/>
        <v/>
      </c>
      <c r="L144" s="112"/>
      <c r="M144" s="113" t="str">
        <f t="shared" si="19"/>
        <v/>
      </c>
      <c r="N144" s="112"/>
      <c r="O144" s="112">
        <v>0</v>
      </c>
      <c r="P144" s="116">
        <v>0</v>
      </c>
      <c r="Q144" s="126" t="str">
        <f t="shared" si="20"/>
        <v/>
      </c>
      <c r="R144" s="114">
        <f t="shared" si="22"/>
        <v>0</v>
      </c>
      <c r="S144" s="126" t="str">
        <f t="shared" si="16"/>
        <v/>
      </c>
      <c r="T144" s="126" t="str">
        <f t="shared" si="23"/>
        <v/>
      </c>
      <c r="U144" s="100"/>
      <c r="V144" s="98"/>
      <c r="W144" s="98"/>
      <c r="X144" s="98"/>
      <c r="Y144" s="98"/>
    </row>
    <row r="145" spans="2:25" s="4" customFormat="1" ht="15.75" x14ac:dyDescent="0.25">
      <c r="B145" s="95">
        <f t="shared" si="21"/>
        <v>141</v>
      </c>
      <c r="C145" s="95"/>
      <c r="D145" s="95"/>
      <c r="E145" s="96"/>
      <c r="F145" s="96"/>
      <c r="G145" s="95"/>
      <c r="H145" s="115"/>
      <c r="I145" s="112"/>
      <c r="J145" s="112"/>
      <c r="K145" s="113" t="str">
        <f t="shared" si="18"/>
        <v/>
      </c>
      <c r="L145" s="112"/>
      <c r="M145" s="113" t="str">
        <f t="shared" si="19"/>
        <v/>
      </c>
      <c r="N145" s="112"/>
      <c r="O145" s="112">
        <v>0</v>
      </c>
      <c r="P145" s="116">
        <v>0</v>
      </c>
      <c r="Q145" s="126" t="str">
        <f t="shared" si="20"/>
        <v/>
      </c>
      <c r="R145" s="114">
        <f t="shared" si="22"/>
        <v>0</v>
      </c>
      <c r="S145" s="126" t="str">
        <f t="shared" si="16"/>
        <v/>
      </c>
      <c r="T145" s="126" t="str">
        <f t="shared" si="23"/>
        <v/>
      </c>
      <c r="U145" s="100"/>
      <c r="V145" s="98"/>
      <c r="W145" s="98"/>
      <c r="X145" s="98"/>
      <c r="Y145" s="98"/>
    </row>
    <row r="146" spans="2:25" s="4" customFormat="1" ht="15.75" x14ac:dyDescent="0.25">
      <c r="B146" s="95">
        <f t="shared" si="21"/>
        <v>142</v>
      </c>
      <c r="C146" s="95"/>
      <c r="D146" s="95"/>
      <c r="E146" s="96"/>
      <c r="F146" s="96"/>
      <c r="G146" s="95"/>
      <c r="H146" s="115"/>
      <c r="I146" s="112"/>
      <c r="J146" s="112"/>
      <c r="K146" s="113" t="str">
        <f t="shared" si="18"/>
        <v/>
      </c>
      <c r="L146" s="112"/>
      <c r="M146" s="113" t="str">
        <f t="shared" si="19"/>
        <v/>
      </c>
      <c r="N146" s="112"/>
      <c r="O146" s="112">
        <v>0</v>
      </c>
      <c r="P146" s="116">
        <v>0</v>
      </c>
      <c r="Q146" s="126" t="str">
        <f t="shared" si="20"/>
        <v/>
      </c>
      <c r="R146" s="114">
        <f t="shared" si="22"/>
        <v>0</v>
      </c>
      <c r="S146" s="126" t="str">
        <f t="shared" si="16"/>
        <v/>
      </c>
      <c r="T146" s="126" t="str">
        <f t="shared" si="23"/>
        <v/>
      </c>
      <c r="U146" s="100"/>
      <c r="V146" s="98"/>
      <c r="W146" s="98"/>
      <c r="X146" s="98"/>
      <c r="Y146" s="98"/>
    </row>
    <row r="147" spans="2:25" s="4" customFormat="1" ht="15.75" x14ac:dyDescent="0.25">
      <c r="B147" s="95">
        <f t="shared" si="21"/>
        <v>143</v>
      </c>
      <c r="C147" s="95"/>
      <c r="D147" s="95"/>
      <c r="E147" s="96"/>
      <c r="F147" s="96"/>
      <c r="G147" s="95"/>
      <c r="H147" s="115"/>
      <c r="I147" s="112"/>
      <c r="J147" s="112"/>
      <c r="K147" s="113" t="str">
        <f t="shared" si="18"/>
        <v/>
      </c>
      <c r="L147" s="112"/>
      <c r="M147" s="113" t="str">
        <f t="shared" si="19"/>
        <v/>
      </c>
      <c r="N147" s="112"/>
      <c r="O147" s="112">
        <v>0</v>
      </c>
      <c r="P147" s="116">
        <v>0</v>
      </c>
      <c r="Q147" s="126" t="str">
        <f t="shared" si="20"/>
        <v/>
      </c>
      <c r="R147" s="114">
        <f t="shared" si="22"/>
        <v>0</v>
      </c>
      <c r="S147" s="126" t="str">
        <f t="shared" si="16"/>
        <v/>
      </c>
      <c r="T147" s="126" t="str">
        <f t="shared" si="23"/>
        <v/>
      </c>
      <c r="U147" s="100"/>
    </row>
    <row r="148" spans="2:25" s="4" customFormat="1" ht="15.75" x14ac:dyDescent="0.25">
      <c r="B148" s="95">
        <f t="shared" si="21"/>
        <v>144</v>
      </c>
      <c r="C148" s="95"/>
      <c r="D148" s="95"/>
      <c r="E148" s="96"/>
      <c r="F148" s="96"/>
      <c r="G148" s="95"/>
      <c r="H148" s="115"/>
      <c r="I148" s="112"/>
      <c r="J148" s="112"/>
      <c r="K148" s="113" t="str">
        <f t="shared" si="18"/>
        <v/>
      </c>
      <c r="L148" s="112"/>
      <c r="M148" s="113" t="str">
        <f t="shared" si="19"/>
        <v/>
      </c>
      <c r="N148" s="112"/>
      <c r="O148" s="112">
        <v>0</v>
      </c>
      <c r="P148" s="116">
        <v>0</v>
      </c>
      <c r="Q148" s="126" t="str">
        <f t="shared" si="20"/>
        <v/>
      </c>
      <c r="R148" s="114">
        <f t="shared" si="22"/>
        <v>0</v>
      </c>
      <c r="S148" s="126" t="str">
        <f t="shared" si="16"/>
        <v/>
      </c>
      <c r="T148" s="126" t="str">
        <f t="shared" si="23"/>
        <v/>
      </c>
      <c r="U148" s="100"/>
    </row>
    <row r="149" spans="2:25" s="4" customFormat="1" ht="15.75" x14ac:dyDescent="0.25">
      <c r="B149" s="95">
        <f t="shared" si="21"/>
        <v>145</v>
      </c>
      <c r="C149" s="95"/>
      <c r="D149" s="95"/>
      <c r="E149" s="96"/>
      <c r="F149" s="96"/>
      <c r="G149" s="95"/>
      <c r="H149" s="115"/>
      <c r="I149" s="112"/>
      <c r="J149" s="112"/>
      <c r="K149" s="113" t="str">
        <f t="shared" si="18"/>
        <v/>
      </c>
      <c r="L149" s="112"/>
      <c r="M149" s="113" t="str">
        <f t="shared" si="19"/>
        <v/>
      </c>
      <c r="N149" s="112"/>
      <c r="O149" s="112">
        <v>0</v>
      </c>
      <c r="P149" s="116">
        <v>0</v>
      </c>
      <c r="Q149" s="126" t="str">
        <f t="shared" si="20"/>
        <v/>
      </c>
      <c r="R149" s="114">
        <f t="shared" si="22"/>
        <v>0</v>
      </c>
      <c r="S149" s="126" t="str">
        <f t="shared" si="16"/>
        <v/>
      </c>
      <c r="T149" s="126" t="str">
        <f t="shared" si="23"/>
        <v/>
      </c>
      <c r="U149" s="100"/>
    </row>
    <row r="150" spans="2:25" s="4" customFormat="1" ht="15.75" x14ac:dyDescent="0.25">
      <c r="B150" s="95">
        <f t="shared" si="21"/>
        <v>146</v>
      </c>
      <c r="C150" s="95"/>
      <c r="D150" s="95"/>
      <c r="E150" s="96"/>
      <c r="F150" s="96"/>
      <c r="G150" s="95"/>
      <c r="H150" s="115"/>
      <c r="I150" s="112"/>
      <c r="J150" s="112"/>
      <c r="K150" s="113" t="str">
        <f t="shared" si="18"/>
        <v/>
      </c>
      <c r="L150" s="112"/>
      <c r="M150" s="113" t="str">
        <f t="shared" si="19"/>
        <v/>
      </c>
      <c r="N150" s="112"/>
      <c r="O150" s="112">
        <v>0</v>
      </c>
      <c r="P150" s="116">
        <v>0</v>
      </c>
      <c r="Q150" s="126" t="str">
        <f t="shared" si="20"/>
        <v/>
      </c>
      <c r="R150" s="114">
        <f t="shared" si="22"/>
        <v>0</v>
      </c>
      <c r="S150" s="126" t="str">
        <f t="shared" si="16"/>
        <v/>
      </c>
      <c r="T150" s="126" t="str">
        <f t="shared" si="23"/>
        <v/>
      </c>
      <c r="U150" s="100"/>
    </row>
    <row r="151" spans="2:25" s="4" customFormat="1" ht="15.75" x14ac:dyDescent="0.25">
      <c r="B151" s="95">
        <f t="shared" si="21"/>
        <v>147</v>
      </c>
      <c r="C151" s="95"/>
      <c r="D151" s="95"/>
      <c r="E151" s="96"/>
      <c r="F151" s="96"/>
      <c r="G151" s="95"/>
      <c r="H151" s="115"/>
      <c r="I151" s="112"/>
      <c r="J151" s="112"/>
      <c r="K151" s="113" t="str">
        <f t="shared" si="18"/>
        <v/>
      </c>
      <c r="L151" s="112"/>
      <c r="M151" s="113" t="str">
        <f t="shared" si="19"/>
        <v/>
      </c>
      <c r="N151" s="112"/>
      <c r="O151" s="112">
        <v>0</v>
      </c>
      <c r="P151" s="116">
        <v>0</v>
      </c>
      <c r="Q151" s="126" t="str">
        <f t="shared" si="20"/>
        <v/>
      </c>
      <c r="R151" s="114">
        <f t="shared" si="22"/>
        <v>0</v>
      </c>
      <c r="S151" s="126" t="str">
        <f t="shared" si="16"/>
        <v/>
      </c>
      <c r="T151" s="126" t="str">
        <f t="shared" si="23"/>
        <v/>
      </c>
      <c r="U151" s="100"/>
    </row>
    <row r="152" spans="2:25" s="4" customFormat="1" ht="15.75" x14ac:dyDescent="0.25">
      <c r="B152" s="95">
        <f t="shared" si="21"/>
        <v>148</v>
      </c>
      <c r="C152" s="95"/>
      <c r="D152" s="95"/>
      <c r="E152" s="96"/>
      <c r="F152" s="96"/>
      <c r="G152" s="95"/>
      <c r="H152" s="115"/>
      <c r="I152" s="112"/>
      <c r="J152" s="112"/>
      <c r="K152" s="113" t="str">
        <f t="shared" si="18"/>
        <v/>
      </c>
      <c r="L152" s="112"/>
      <c r="M152" s="113" t="str">
        <f t="shared" si="19"/>
        <v/>
      </c>
      <c r="N152" s="112"/>
      <c r="O152" s="112">
        <v>0</v>
      </c>
      <c r="P152" s="116">
        <v>0</v>
      </c>
      <c r="Q152" s="126" t="str">
        <f t="shared" si="20"/>
        <v/>
      </c>
      <c r="R152" s="114">
        <f t="shared" si="22"/>
        <v>0</v>
      </c>
      <c r="S152" s="126" t="str">
        <f t="shared" si="16"/>
        <v/>
      </c>
      <c r="T152" s="126" t="str">
        <f t="shared" si="23"/>
        <v/>
      </c>
      <c r="U152" s="100"/>
    </row>
    <row r="153" spans="2:25" s="4" customFormat="1" ht="15.75" x14ac:dyDescent="0.25">
      <c r="B153" s="95">
        <f t="shared" si="21"/>
        <v>149</v>
      </c>
      <c r="C153" s="95"/>
      <c r="D153" s="95"/>
      <c r="E153" s="96"/>
      <c r="F153" s="96"/>
      <c r="G153" s="95"/>
      <c r="H153" s="115"/>
      <c r="I153" s="112"/>
      <c r="J153" s="112"/>
      <c r="K153" s="113" t="str">
        <f t="shared" si="18"/>
        <v/>
      </c>
      <c r="L153" s="112"/>
      <c r="M153" s="113" t="str">
        <f t="shared" si="19"/>
        <v/>
      </c>
      <c r="N153" s="112"/>
      <c r="O153" s="112">
        <v>0</v>
      </c>
      <c r="P153" s="116">
        <v>0</v>
      </c>
      <c r="Q153" s="126" t="str">
        <f t="shared" si="20"/>
        <v/>
      </c>
      <c r="R153" s="114">
        <f t="shared" si="22"/>
        <v>0</v>
      </c>
      <c r="S153" s="126" t="str">
        <f t="shared" si="16"/>
        <v/>
      </c>
      <c r="T153" s="126" t="str">
        <f t="shared" si="23"/>
        <v/>
      </c>
      <c r="U153" s="100"/>
    </row>
    <row r="154" spans="2:25" s="4" customFormat="1" ht="15.75" x14ac:dyDescent="0.25">
      <c r="B154" s="95">
        <f t="shared" si="21"/>
        <v>150</v>
      </c>
      <c r="C154" s="95"/>
      <c r="D154" s="95"/>
      <c r="E154" s="96"/>
      <c r="F154" s="96"/>
      <c r="G154" s="95"/>
      <c r="H154" s="115"/>
      <c r="I154" s="112"/>
      <c r="J154" s="112"/>
      <c r="K154" s="113" t="str">
        <f t="shared" si="18"/>
        <v/>
      </c>
      <c r="L154" s="112"/>
      <c r="M154" s="113" t="str">
        <f t="shared" si="19"/>
        <v/>
      </c>
      <c r="N154" s="112"/>
      <c r="O154" s="112">
        <v>0</v>
      </c>
      <c r="P154" s="116">
        <v>0</v>
      </c>
      <c r="Q154" s="126" t="str">
        <f t="shared" si="20"/>
        <v/>
      </c>
      <c r="R154" s="114">
        <f t="shared" si="22"/>
        <v>0</v>
      </c>
      <c r="S154" s="126" t="str">
        <f t="shared" si="16"/>
        <v/>
      </c>
      <c r="T154" s="126" t="str">
        <f t="shared" si="23"/>
        <v/>
      </c>
      <c r="U154" s="100"/>
    </row>
    <row r="155" spans="2:25" s="4" customFormat="1" ht="15.75" x14ac:dyDescent="0.25">
      <c r="B155" s="95">
        <f t="shared" si="21"/>
        <v>151</v>
      </c>
      <c r="C155" s="95"/>
      <c r="D155" s="95"/>
      <c r="E155" s="96"/>
      <c r="F155" s="96"/>
      <c r="G155" s="95"/>
      <c r="H155" s="115"/>
      <c r="I155" s="112"/>
      <c r="J155" s="112"/>
      <c r="K155" s="113" t="str">
        <f t="shared" si="18"/>
        <v/>
      </c>
      <c r="L155" s="112"/>
      <c r="M155" s="113" t="str">
        <f t="shared" si="19"/>
        <v/>
      </c>
      <c r="N155" s="112"/>
      <c r="O155" s="112">
        <v>0</v>
      </c>
      <c r="P155" s="116">
        <v>0</v>
      </c>
      <c r="Q155" s="126" t="str">
        <f t="shared" si="20"/>
        <v/>
      </c>
      <c r="R155" s="114">
        <f t="shared" si="22"/>
        <v>0</v>
      </c>
      <c r="S155" s="126" t="str">
        <f t="shared" si="16"/>
        <v/>
      </c>
      <c r="T155" s="126" t="str">
        <f t="shared" si="23"/>
        <v/>
      </c>
      <c r="U155" s="100"/>
    </row>
    <row r="156" spans="2:25" s="4" customFormat="1" ht="15.75" x14ac:dyDescent="0.25">
      <c r="B156" s="95">
        <f t="shared" si="21"/>
        <v>152</v>
      </c>
      <c r="C156" s="95"/>
      <c r="D156" s="95"/>
      <c r="E156" s="96"/>
      <c r="F156" s="96"/>
      <c r="G156" s="95"/>
      <c r="H156" s="115"/>
      <c r="I156" s="112"/>
      <c r="J156" s="112"/>
      <c r="K156" s="113" t="str">
        <f t="shared" si="18"/>
        <v/>
      </c>
      <c r="L156" s="112"/>
      <c r="M156" s="113" t="str">
        <f t="shared" si="19"/>
        <v/>
      </c>
      <c r="N156" s="112"/>
      <c r="O156" s="112">
        <v>0</v>
      </c>
      <c r="P156" s="116">
        <v>0</v>
      </c>
      <c r="Q156" s="126" t="str">
        <f t="shared" si="20"/>
        <v/>
      </c>
      <c r="R156" s="114">
        <f t="shared" si="22"/>
        <v>0</v>
      </c>
      <c r="S156" s="126" t="str">
        <f t="shared" si="16"/>
        <v/>
      </c>
      <c r="T156" s="126" t="str">
        <f t="shared" si="23"/>
        <v/>
      </c>
      <c r="U156" s="100"/>
    </row>
    <row r="157" spans="2:25" s="4" customFormat="1" ht="15.75" x14ac:dyDescent="0.25">
      <c r="B157" s="95">
        <f t="shared" si="21"/>
        <v>153</v>
      </c>
      <c r="C157" s="95"/>
      <c r="D157" s="95"/>
      <c r="E157" s="96"/>
      <c r="F157" s="96"/>
      <c r="G157" s="95"/>
      <c r="H157" s="115"/>
      <c r="I157" s="112"/>
      <c r="J157" s="112"/>
      <c r="K157" s="113" t="str">
        <f t="shared" si="18"/>
        <v/>
      </c>
      <c r="L157" s="112"/>
      <c r="M157" s="113" t="str">
        <f t="shared" si="19"/>
        <v/>
      </c>
      <c r="N157" s="112"/>
      <c r="O157" s="112">
        <v>0</v>
      </c>
      <c r="P157" s="116">
        <v>0</v>
      </c>
      <c r="Q157" s="126" t="str">
        <f t="shared" si="20"/>
        <v/>
      </c>
      <c r="R157" s="114">
        <f t="shared" si="22"/>
        <v>0</v>
      </c>
      <c r="S157" s="126" t="str">
        <f t="shared" si="16"/>
        <v/>
      </c>
      <c r="T157" s="126" t="str">
        <f t="shared" si="23"/>
        <v/>
      </c>
      <c r="U157" s="100"/>
    </row>
    <row r="158" spans="2:25" s="4" customFormat="1" ht="15.75" x14ac:dyDescent="0.25">
      <c r="B158" s="95">
        <f t="shared" si="21"/>
        <v>154</v>
      </c>
      <c r="C158" s="95"/>
      <c r="D158" s="95"/>
      <c r="E158" s="96"/>
      <c r="F158" s="96"/>
      <c r="G158" s="95"/>
      <c r="H158" s="115"/>
      <c r="I158" s="112"/>
      <c r="J158" s="112"/>
      <c r="K158" s="113" t="str">
        <f t="shared" si="18"/>
        <v/>
      </c>
      <c r="L158" s="112"/>
      <c r="M158" s="113" t="str">
        <f t="shared" si="19"/>
        <v/>
      </c>
      <c r="N158" s="112"/>
      <c r="O158" s="112">
        <v>0</v>
      </c>
      <c r="P158" s="116">
        <v>0</v>
      </c>
      <c r="Q158" s="126" t="str">
        <f t="shared" si="20"/>
        <v/>
      </c>
      <c r="R158" s="114">
        <f t="shared" si="22"/>
        <v>0</v>
      </c>
      <c r="S158" s="126" t="str">
        <f t="shared" si="16"/>
        <v/>
      </c>
      <c r="T158" s="126" t="str">
        <f t="shared" si="23"/>
        <v/>
      </c>
      <c r="U158" s="100"/>
    </row>
    <row r="159" spans="2:25" s="4" customFormat="1" ht="15.75" x14ac:dyDescent="0.25">
      <c r="B159" s="95">
        <f t="shared" si="21"/>
        <v>155</v>
      </c>
      <c r="C159" s="95"/>
      <c r="D159" s="95"/>
      <c r="E159" s="96"/>
      <c r="F159" s="96"/>
      <c r="G159" s="95"/>
      <c r="H159" s="115"/>
      <c r="I159" s="112"/>
      <c r="J159" s="112"/>
      <c r="K159" s="113" t="str">
        <f t="shared" si="18"/>
        <v/>
      </c>
      <c r="L159" s="112"/>
      <c r="M159" s="113" t="str">
        <f t="shared" si="19"/>
        <v/>
      </c>
      <c r="N159" s="112"/>
      <c r="O159" s="112">
        <v>0</v>
      </c>
      <c r="P159" s="116">
        <v>0</v>
      </c>
      <c r="Q159" s="126" t="str">
        <f t="shared" si="20"/>
        <v/>
      </c>
      <c r="R159" s="114">
        <f t="shared" si="22"/>
        <v>0</v>
      </c>
      <c r="S159" s="126" t="str">
        <f t="shared" si="16"/>
        <v/>
      </c>
      <c r="T159" s="126" t="str">
        <f t="shared" si="23"/>
        <v/>
      </c>
      <c r="U159" s="100"/>
    </row>
    <row r="160" spans="2:25" s="4" customFormat="1" ht="15.75" x14ac:dyDescent="0.25">
      <c r="B160" s="95">
        <f t="shared" si="21"/>
        <v>156</v>
      </c>
      <c r="C160" s="95"/>
      <c r="D160" s="95"/>
      <c r="E160" s="96"/>
      <c r="F160" s="96"/>
      <c r="G160" s="95"/>
      <c r="H160" s="115"/>
      <c r="I160" s="112"/>
      <c r="J160" s="112"/>
      <c r="K160" s="113" t="str">
        <f t="shared" si="18"/>
        <v/>
      </c>
      <c r="L160" s="112"/>
      <c r="M160" s="113" t="str">
        <f t="shared" si="19"/>
        <v/>
      </c>
      <c r="N160" s="112"/>
      <c r="O160" s="112">
        <v>0</v>
      </c>
      <c r="P160" s="116">
        <v>0</v>
      </c>
      <c r="Q160" s="126" t="str">
        <f t="shared" si="20"/>
        <v/>
      </c>
      <c r="R160" s="114">
        <f t="shared" si="22"/>
        <v>0</v>
      </c>
      <c r="S160" s="126" t="str">
        <f t="shared" si="16"/>
        <v/>
      </c>
      <c r="T160" s="126" t="str">
        <f t="shared" si="23"/>
        <v/>
      </c>
      <c r="U160" s="100"/>
    </row>
    <row r="161" spans="2:21" s="4" customFormat="1" ht="15.75" x14ac:dyDescent="0.25">
      <c r="B161" s="95">
        <f t="shared" si="21"/>
        <v>157</v>
      </c>
      <c r="C161" s="95"/>
      <c r="D161" s="95"/>
      <c r="E161" s="96"/>
      <c r="F161" s="96"/>
      <c r="G161" s="95"/>
      <c r="H161" s="115"/>
      <c r="I161" s="112"/>
      <c r="J161" s="112"/>
      <c r="K161" s="113" t="str">
        <f t="shared" si="18"/>
        <v/>
      </c>
      <c r="L161" s="112"/>
      <c r="M161" s="113" t="str">
        <f t="shared" si="19"/>
        <v/>
      </c>
      <c r="N161" s="112"/>
      <c r="O161" s="112">
        <v>0</v>
      </c>
      <c r="P161" s="116">
        <v>0</v>
      </c>
      <c r="Q161" s="126" t="str">
        <f t="shared" si="20"/>
        <v/>
      </c>
      <c r="R161" s="114">
        <f t="shared" si="22"/>
        <v>0</v>
      </c>
      <c r="S161" s="126" t="str">
        <f t="shared" si="16"/>
        <v/>
      </c>
      <c r="T161" s="126" t="str">
        <f t="shared" si="23"/>
        <v/>
      </c>
      <c r="U161" s="100"/>
    </row>
    <row r="162" spans="2:21" s="4" customFormat="1" ht="15.75" x14ac:dyDescent="0.25">
      <c r="B162" s="95">
        <f t="shared" si="21"/>
        <v>158</v>
      </c>
      <c r="C162" s="95"/>
      <c r="D162" s="95"/>
      <c r="E162" s="96"/>
      <c r="F162" s="96"/>
      <c r="G162" s="95"/>
      <c r="H162" s="115"/>
      <c r="I162" s="112"/>
      <c r="J162" s="112"/>
      <c r="K162" s="113" t="str">
        <f t="shared" si="18"/>
        <v/>
      </c>
      <c r="L162" s="112"/>
      <c r="M162" s="113" t="str">
        <f t="shared" si="19"/>
        <v/>
      </c>
      <c r="N162" s="112"/>
      <c r="O162" s="112">
        <v>0</v>
      </c>
      <c r="P162" s="116">
        <v>0</v>
      </c>
      <c r="Q162" s="126" t="str">
        <f t="shared" si="20"/>
        <v/>
      </c>
      <c r="R162" s="114">
        <f t="shared" si="22"/>
        <v>0</v>
      </c>
      <c r="S162" s="126" t="str">
        <f t="shared" si="16"/>
        <v/>
      </c>
      <c r="T162" s="126" t="str">
        <f t="shared" si="23"/>
        <v/>
      </c>
      <c r="U162" s="100"/>
    </row>
    <row r="163" spans="2:21" s="4" customFormat="1" ht="15.75" x14ac:dyDescent="0.25">
      <c r="B163" s="95">
        <f t="shared" si="21"/>
        <v>159</v>
      </c>
      <c r="C163" s="95"/>
      <c r="D163" s="95"/>
      <c r="E163" s="96"/>
      <c r="F163" s="96"/>
      <c r="G163" s="95"/>
      <c r="H163" s="115"/>
      <c r="I163" s="112"/>
      <c r="J163" s="112"/>
      <c r="K163" s="113" t="str">
        <f t="shared" si="18"/>
        <v/>
      </c>
      <c r="L163" s="112"/>
      <c r="M163" s="113" t="str">
        <f t="shared" si="19"/>
        <v/>
      </c>
      <c r="N163" s="112"/>
      <c r="O163" s="112">
        <v>0</v>
      </c>
      <c r="P163" s="116">
        <v>0</v>
      </c>
      <c r="Q163" s="126" t="str">
        <f t="shared" si="20"/>
        <v/>
      </c>
      <c r="R163" s="114">
        <f t="shared" si="22"/>
        <v>0</v>
      </c>
      <c r="S163" s="126" t="str">
        <f t="shared" si="16"/>
        <v/>
      </c>
      <c r="T163" s="126" t="str">
        <f t="shared" si="23"/>
        <v/>
      </c>
      <c r="U163" s="100"/>
    </row>
    <row r="164" spans="2:21" s="4" customFormat="1" ht="15.75" x14ac:dyDescent="0.25">
      <c r="B164" s="95">
        <f t="shared" si="21"/>
        <v>160</v>
      </c>
      <c r="C164" s="95"/>
      <c r="D164" s="95"/>
      <c r="E164" s="96"/>
      <c r="F164" s="96"/>
      <c r="G164" s="95"/>
      <c r="H164" s="115"/>
      <c r="I164" s="112"/>
      <c r="J164" s="112"/>
      <c r="K164" s="113" t="str">
        <f t="shared" si="18"/>
        <v/>
      </c>
      <c r="L164" s="112"/>
      <c r="M164" s="113" t="str">
        <f t="shared" si="19"/>
        <v/>
      </c>
      <c r="N164" s="112"/>
      <c r="O164" s="112">
        <v>0</v>
      </c>
      <c r="P164" s="116">
        <v>0</v>
      </c>
      <c r="Q164" s="126" t="str">
        <f t="shared" si="20"/>
        <v/>
      </c>
      <c r="R164" s="114">
        <f t="shared" si="22"/>
        <v>0</v>
      </c>
      <c r="S164" s="126" t="str">
        <f t="shared" si="16"/>
        <v/>
      </c>
      <c r="T164" s="126" t="str">
        <f t="shared" si="23"/>
        <v/>
      </c>
      <c r="U164" s="100"/>
    </row>
    <row r="165" spans="2:21" s="4" customFormat="1" ht="15.75" x14ac:dyDescent="0.25">
      <c r="B165" s="95">
        <f t="shared" si="21"/>
        <v>161</v>
      </c>
      <c r="C165" s="95"/>
      <c r="D165" s="95"/>
      <c r="E165" s="96"/>
      <c r="F165" s="96"/>
      <c r="G165" s="95"/>
      <c r="H165" s="115"/>
      <c r="I165" s="112"/>
      <c r="J165" s="112"/>
      <c r="K165" s="113" t="str">
        <f t="shared" si="18"/>
        <v/>
      </c>
      <c r="L165" s="112"/>
      <c r="M165" s="113" t="str">
        <f t="shared" si="19"/>
        <v/>
      </c>
      <c r="N165" s="112"/>
      <c r="O165" s="112">
        <v>0</v>
      </c>
      <c r="P165" s="116">
        <v>0</v>
      </c>
      <c r="Q165" s="126" t="str">
        <f t="shared" si="20"/>
        <v/>
      </c>
      <c r="R165" s="114">
        <f t="shared" si="22"/>
        <v>0</v>
      </c>
      <c r="S165" s="126" t="str">
        <f t="shared" si="16"/>
        <v/>
      </c>
      <c r="T165" s="126" t="str">
        <f t="shared" si="23"/>
        <v/>
      </c>
      <c r="U165" s="100"/>
    </row>
    <row r="166" spans="2:21" s="4" customFormat="1" ht="15.75" x14ac:dyDescent="0.25">
      <c r="B166" s="95">
        <f t="shared" si="21"/>
        <v>162</v>
      </c>
      <c r="C166" s="95"/>
      <c r="D166" s="95"/>
      <c r="E166" s="96"/>
      <c r="F166" s="96"/>
      <c r="G166" s="95"/>
      <c r="H166" s="115"/>
      <c r="I166" s="112"/>
      <c r="J166" s="112"/>
      <c r="K166" s="113" t="str">
        <f t="shared" si="18"/>
        <v/>
      </c>
      <c r="L166" s="112"/>
      <c r="M166" s="113" t="str">
        <f t="shared" si="19"/>
        <v/>
      </c>
      <c r="N166" s="112"/>
      <c r="O166" s="112">
        <v>0</v>
      </c>
      <c r="P166" s="116">
        <v>0</v>
      </c>
      <c r="Q166" s="126" t="str">
        <f t="shared" si="20"/>
        <v/>
      </c>
      <c r="R166" s="114">
        <f t="shared" si="22"/>
        <v>0</v>
      </c>
      <c r="S166" s="126" t="str">
        <f t="shared" si="16"/>
        <v/>
      </c>
      <c r="T166" s="126" t="str">
        <f t="shared" si="23"/>
        <v/>
      </c>
      <c r="U166" s="100"/>
    </row>
    <row r="167" spans="2:21" s="4" customFormat="1" ht="15.75" x14ac:dyDescent="0.25">
      <c r="B167" s="95">
        <f t="shared" si="21"/>
        <v>163</v>
      </c>
      <c r="C167" s="95"/>
      <c r="D167" s="95"/>
      <c r="E167" s="96"/>
      <c r="F167" s="96"/>
      <c r="G167" s="95"/>
      <c r="H167" s="115"/>
      <c r="I167" s="112"/>
      <c r="J167" s="112"/>
      <c r="K167" s="113" t="str">
        <f t="shared" si="18"/>
        <v/>
      </c>
      <c r="L167" s="112"/>
      <c r="M167" s="113" t="str">
        <f t="shared" si="19"/>
        <v/>
      </c>
      <c r="N167" s="112"/>
      <c r="O167" s="112">
        <v>0</v>
      </c>
      <c r="P167" s="116">
        <v>0</v>
      </c>
      <c r="Q167" s="126" t="str">
        <f t="shared" si="20"/>
        <v/>
      </c>
      <c r="R167" s="114">
        <f t="shared" si="22"/>
        <v>0</v>
      </c>
      <c r="S167" s="126" t="str">
        <f t="shared" si="16"/>
        <v/>
      </c>
      <c r="T167" s="126" t="str">
        <f t="shared" si="23"/>
        <v/>
      </c>
      <c r="U167" s="100"/>
    </row>
    <row r="168" spans="2:21" s="4" customFormat="1" ht="15.75" x14ac:dyDescent="0.25">
      <c r="B168" s="95">
        <f t="shared" si="21"/>
        <v>164</v>
      </c>
      <c r="C168" s="95"/>
      <c r="D168" s="95"/>
      <c r="E168" s="96"/>
      <c r="F168" s="96"/>
      <c r="G168" s="95"/>
      <c r="H168" s="115"/>
      <c r="I168" s="112"/>
      <c r="J168" s="112"/>
      <c r="K168" s="113" t="str">
        <f t="shared" si="18"/>
        <v/>
      </c>
      <c r="L168" s="112"/>
      <c r="M168" s="113" t="str">
        <f t="shared" si="19"/>
        <v/>
      </c>
      <c r="N168" s="112"/>
      <c r="O168" s="112">
        <v>0</v>
      </c>
      <c r="P168" s="116">
        <v>0</v>
      </c>
      <c r="Q168" s="126" t="str">
        <f t="shared" si="20"/>
        <v/>
      </c>
      <c r="R168" s="114">
        <f t="shared" si="22"/>
        <v>0</v>
      </c>
      <c r="S168" s="126" t="str">
        <f t="shared" si="16"/>
        <v/>
      </c>
      <c r="T168" s="126" t="str">
        <f t="shared" si="23"/>
        <v/>
      </c>
      <c r="U168" s="100"/>
    </row>
    <row r="169" spans="2:21" s="4" customFormat="1" ht="15.75" x14ac:dyDescent="0.25">
      <c r="B169" s="95">
        <f t="shared" si="21"/>
        <v>165</v>
      </c>
      <c r="C169" s="95"/>
      <c r="D169" s="95"/>
      <c r="E169" s="96"/>
      <c r="F169" s="96"/>
      <c r="G169" s="95"/>
      <c r="H169" s="115"/>
      <c r="I169" s="112"/>
      <c r="J169" s="112"/>
      <c r="K169" s="113" t="str">
        <f t="shared" si="18"/>
        <v/>
      </c>
      <c r="L169" s="112"/>
      <c r="M169" s="113" t="str">
        <f t="shared" si="19"/>
        <v/>
      </c>
      <c r="N169" s="112"/>
      <c r="O169" s="112">
        <v>0</v>
      </c>
      <c r="P169" s="116">
        <v>0</v>
      </c>
      <c r="Q169" s="126" t="str">
        <f t="shared" si="20"/>
        <v/>
      </c>
      <c r="R169" s="114">
        <f t="shared" si="22"/>
        <v>0</v>
      </c>
      <c r="S169" s="126" t="str">
        <f t="shared" si="16"/>
        <v/>
      </c>
      <c r="T169" s="126" t="str">
        <f t="shared" si="23"/>
        <v/>
      </c>
      <c r="U169" s="100"/>
    </row>
    <row r="170" spans="2:21" s="4" customFormat="1" ht="15.75" x14ac:dyDescent="0.25">
      <c r="B170" s="95">
        <f t="shared" si="21"/>
        <v>166</v>
      </c>
      <c r="C170" s="95"/>
      <c r="D170" s="95"/>
      <c r="E170" s="96"/>
      <c r="F170" s="96"/>
      <c r="G170" s="95"/>
      <c r="H170" s="115"/>
      <c r="I170" s="112"/>
      <c r="J170" s="112"/>
      <c r="K170" s="113" t="str">
        <f t="shared" si="18"/>
        <v/>
      </c>
      <c r="L170" s="112"/>
      <c r="M170" s="113" t="str">
        <f t="shared" si="19"/>
        <v/>
      </c>
      <c r="N170" s="112"/>
      <c r="O170" s="112">
        <v>0</v>
      </c>
      <c r="P170" s="116">
        <v>0</v>
      </c>
      <c r="Q170" s="126" t="str">
        <f t="shared" si="20"/>
        <v/>
      </c>
      <c r="R170" s="114">
        <f t="shared" si="22"/>
        <v>0</v>
      </c>
      <c r="S170" s="126" t="str">
        <f t="shared" si="16"/>
        <v/>
      </c>
      <c r="T170" s="126" t="str">
        <f t="shared" si="23"/>
        <v/>
      </c>
      <c r="U170" s="100"/>
    </row>
    <row r="171" spans="2:21" s="4" customFormat="1" ht="15.75" x14ac:dyDescent="0.25">
      <c r="B171" s="95">
        <f t="shared" si="21"/>
        <v>167</v>
      </c>
      <c r="C171" s="95"/>
      <c r="D171" s="95"/>
      <c r="E171" s="96"/>
      <c r="F171" s="96"/>
      <c r="G171" s="95"/>
      <c r="H171" s="115"/>
      <c r="I171" s="112"/>
      <c r="J171" s="112"/>
      <c r="K171" s="113" t="str">
        <f t="shared" si="18"/>
        <v/>
      </c>
      <c r="L171" s="112"/>
      <c r="M171" s="113" t="str">
        <f t="shared" si="19"/>
        <v/>
      </c>
      <c r="N171" s="112"/>
      <c r="O171" s="112">
        <v>0</v>
      </c>
      <c r="P171" s="116">
        <v>0</v>
      </c>
      <c r="Q171" s="126" t="str">
        <f t="shared" si="20"/>
        <v/>
      </c>
      <c r="R171" s="114">
        <f t="shared" si="22"/>
        <v>0</v>
      </c>
      <c r="S171" s="126" t="str">
        <f t="shared" si="16"/>
        <v/>
      </c>
      <c r="T171" s="126" t="str">
        <f t="shared" si="23"/>
        <v/>
      </c>
      <c r="U171" s="100"/>
    </row>
    <row r="172" spans="2:21" s="4" customFormat="1" ht="15.75" x14ac:dyDescent="0.25">
      <c r="B172" s="95">
        <f t="shared" si="21"/>
        <v>168</v>
      </c>
      <c r="C172" s="95"/>
      <c r="D172" s="95"/>
      <c r="E172" s="96"/>
      <c r="F172" s="96"/>
      <c r="G172" s="95"/>
      <c r="H172" s="115"/>
      <c r="I172" s="112"/>
      <c r="J172" s="112"/>
      <c r="K172" s="113" t="str">
        <f t="shared" si="18"/>
        <v/>
      </c>
      <c r="L172" s="112"/>
      <c r="M172" s="113" t="str">
        <f t="shared" si="19"/>
        <v/>
      </c>
      <c r="N172" s="112"/>
      <c r="O172" s="112">
        <v>0</v>
      </c>
      <c r="P172" s="116">
        <v>0</v>
      </c>
      <c r="Q172" s="126" t="str">
        <f t="shared" si="20"/>
        <v/>
      </c>
      <c r="R172" s="114">
        <f t="shared" si="22"/>
        <v>0</v>
      </c>
      <c r="S172" s="126" t="str">
        <f t="shared" si="16"/>
        <v/>
      </c>
      <c r="T172" s="126" t="str">
        <f t="shared" si="23"/>
        <v/>
      </c>
      <c r="U172" s="100"/>
    </row>
    <row r="173" spans="2:21" s="4" customFormat="1" ht="15.75" x14ac:dyDescent="0.25">
      <c r="B173" s="95">
        <f t="shared" si="21"/>
        <v>169</v>
      </c>
      <c r="C173" s="95"/>
      <c r="D173" s="95"/>
      <c r="E173" s="96"/>
      <c r="F173" s="96"/>
      <c r="G173" s="95"/>
      <c r="H173" s="115"/>
      <c r="I173" s="112"/>
      <c r="J173" s="112"/>
      <c r="K173" s="113" t="str">
        <f t="shared" si="18"/>
        <v/>
      </c>
      <c r="L173" s="112"/>
      <c r="M173" s="113" t="str">
        <f t="shared" si="19"/>
        <v/>
      </c>
      <c r="N173" s="112"/>
      <c r="O173" s="112">
        <v>0</v>
      </c>
      <c r="P173" s="116">
        <v>0</v>
      </c>
      <c r="Q173" s="126" t="str">
        <f t="shared" si="20"/>
        <v/>
      </c>
      <c r="R173" s="114">
        <f t="shared" si="22"/>
        <v>0</v>
      </c>
      <c r="S173" s="126" t="str">
        <f t="shared" si="16"/>
        <v/>
      </c>
      <c r="T173" s="126" t="str">
        <f t="shared" si="23"/>
        <v/>
      </c>
      <c r="U173" s="100"/>
    </row>
    <row r="174" spans="2:21" s="4" customFormat="1" ht="15.75" x14ac:dyDescent="0.25">
      <c r="B174" s="95">
        <f t="shared" si="21"/>
        <v>170</v>
      </c>
      <c r="C174" s="95"/>
      <c r="D174" s="95"/>
      <c r="E174" s="96"/>
      <c r="F174" s="96"/>
      <c r="G174" s="95"/>
      <c r="H174" s="115"/>
      <c r="I174" s="112"/>
      <c r="J174" s="112"/>
      <c r="K174" s="113" t="str">
        <f t="shared" si="18"/>
        <v/>
      </c>
      <c r="L174" s="112"/>
      <c r="M174" s="113" t="str">
        <f t="shared" si="19"/>
        <v/>
      </c>
      <c r="N174" s="112"/>
      <c r="O174" s="112">
        <v>0</v>
      </c>
      <c r="P174" s="116">
        <v>0</v>
      </c>
      <c r="Q174" s="126" t="str">
        <f t="shared" si="20"/>
        <v/>
      </c>
      <c r="R174" s="114">
        <f t="shared" si="22"/>
        <v>0</v>
      </c>
      <c r="S174" s="126" t="str">
        <f t="shared" si="16"/>
        <v/>
      </c>
      <c r="T174" s="126" t="str">
        <f t="shared" si="23"/>
        <v/>
      </c>
      <c r="U174" s="100"/>
    </row>
    <row r="175" spans="2:21" s="4" customFormat="1" ht="15.75" x14ac:dyDescent="0.25">
      <c r="B175" s="95">
        <f t="shared" si="21"/>
        <v>171</v>
      </c>
      <c r="C175" s="95"/>
      <c r="D175" s="95"/>
      <c r="E175" s="96"/>
      <c r="F175" s="96"/>
      <c r="G175" s="95"/>
      <c r="H175" s="115"/>
      <c r="I175" s="112"/>
      <c r="J175" s="112"/>
      <c r="K175" s="113" t="str">
        <f t="shared" si="18"/>
        <v/>
      </c>
      <c r="L175" s="112"/>
      <c r="M175" s="113" t="str">
        <f t="shared" si="19"/>
        <v/>
      </c>
      <c r="N175" s="112"/>
      <c r="O175" s="112">
        <v>0</v>
      </c>
      <c r="P175" s="116">
        <v>0</v>
      </c>
      <c r="Q175" s="126" t="str">
        <f t="shared" si="20"/>
        <v/>
      </c>
      <c r="R175" s="114">
        <f t="shared" si="22"/>
        <v>0</v>
      </c>
      <c r="S175" s="126" t="str">
        <f t="shared" si="16"/>
        <v/>
      </c>
      <c r="T175" s="126" t="str">
        <f t="shared" si="23"/>
        <v/>
      </c>
      <c r="U175" s="100"/>
    </row>
    <row r="176" spans="2:21" s="4" customFormat="1" ht="15.75" x14ac:dyDescent="0.25">
      <c r="B176" s="95">
        <f t="shared" si="21"/>
        <v>172</v>
      </c>
      <c r="C176" s="95"/>
      <c r="D176" s="95"/>
      <c r="E176" s="96"/>
      <c r="F176" s="96"/>
      <c r="G176" s="95"/>
      <c r="H176" s="115"/>
      <c r="I176" s="112"/>
      <c r="J176" s="112"/>
      <c r="K176" s="113" t="str">
        <f t="shared" si="18"/>
        <v/>
      </c>
      <c r="L176" s="112"/>
      <c r="M176" s="113" t="str">
        <f t="shared" si="19"/>
        <v/>
      </c>
      <c r="N176" s="112"/>
      <c r="O176" s="112">
        <v>0</v>
      </c>
      <c r="P176" s="116">
        <v>0</v>
      </c>
      <c r="Q176" s="126" t="str">
        <f t="shared" si="20"/>
        <v/>
      </c>
      <c r="R176" s="114">
        <f t="shared" si="22"/>
        <v>0</v>
      </c>
      <c r="S176" s="126" t="str">
        <f t="shared" si="16"/>
        <v/>
      </c>
      <c r="T176" s="126" t="str">
        <f t="shared" si="23"/>
        <v/>
      </c>
      <c r="U176" s="100"/>
    </row>
    <row r="177" spans="2:21" s="4" customFormat="1" ht="15.75" x14ac:dyDescent="0.25">
      <c r="B177" s="95">
        <f t="shared" si="21"/>
        <v>173</v>
      </c>
      <c r="C177" s="95"/>
      <c r="D177" s="95"/>
      <c r="E177" s="96"/>
      <c r="F177" s="96"/>
      <c r="G177" s="95"/>
      <c r="H177" s="115"/>
      <c r="I177" s="112"/>
      <c r="J177" s="112"/>
      <c r="K177" s="113" t="str">
        <f t="shared" si="18"/>
        <v/>
      </c>
      <c r="L177" s="112"/>
      <c r="M177" s="113" t="str">
        <f t="shared" si="19"/>
        <v/>
      </c>
      <c r="N177" s="112"/>
      <c r="O177" s="112">
        <v>0</v>
      </c>
      <c r="P177" s="116">
        <v>0</v>
      </c>
      <c r="Q177" s="126" t="str">
        <f t="shared" si="20"/>
        <v/>
      </c>
      <c r="R177" s="114">
        <f t="shared" si="22"/>
        <v>0</v>
      </c>
      <c r="S177" s="126" t="str">
        <f t="shared" si="16"/>
        <v/>
      </c>
      <c r="T177" s="126" t="str">
        <f t="shared" si="23"/>
        <v/>
      </c>
      <c r="U177" s="100"/>
    </row>
    <row r="178" spans="2:21" s="4" customFormat="1" ht="15.75" x14ac:dyDescent="0.25">
      <c r="B178" s="95">
        <f t="shared" si="21"/>
        <v>174</v>
      </c>
      <c r="C178" s="95"/>
      <c r="D178" s="95"/>
      <c r="E178" s="96"/>
      <c r="F178" s="96"/>
      <c r="G178" s="95"/>
      <c r="H178" s="115"/>
      <c r="I178" s="112"/>
      <c r="J178" s="112"/>
      <c r="K178" s="113" t="str">
        <f t="shared" si="18"/>
        <v/>
      </c>
      <c r="L178" s="112"/>
      <c r="M178" s="113" t="str">
        <f t="shared" si="19"/>
        <v/>
      </c>
      <c r="N178" s="112"/>
      <c r="O178" s="112">
        <v>0</v>
      </c>
      <c r="P178" s="116">
        <v>0</v>
      </c>
      <c r="Q178" s="126" t="str">
        <f t="shared" si="20"/>
        <v/>
      </c>
      <c r="R178" s="114">
        <f t="shared" si="22"/>
        <v>0</v>
      </c>
      <c r="S178" s="126" t="str">
        <f t="shared" si="16"/>
        <v/>
      </c>
      <c r="T178" s="126" t="str">
        <f t="shared" si="23"/>
        <v/>
      </c>
      <c r="U178" s="100"/>
    </row>
    <row r="179" spans="2:21" s="4" customFormat="1" ht="15.75" x14ac:dyDescent="0.25">
      <c r="B179" s="95">
        <f t="shared" si="21"/>
        <v>175</v>
      </c>
      <c r="C179" s="95"/>
      <c r="D179" s="95"/>
      <c r="E179" s="96"/>
      <c r="F179" s="96"/>
      <c r="G179" s="95"/>
      <c r="H179" s="115"/>
      <c r="I179" s="112"/>
      <c r="J179" s="112"/>
      <c r="K179" s="113" t="str">
        <f t="shared" si="18"/>
        <v/>
      </c>
      <c r="L179" s="112"/>
      <c r="M179" s="113" t="str">
        <f t="shared" si="19"/>
        <v/>
      </c>
      <c r="N179" s="112"/>
      <c r="O179" s="112">
        <v>0</v>
      </c>
      <c r="P179" s="116">
        <v>0</v>
      </c>
      <c r="Q179" s="126" t="str">
        <f t="shared" si="20"/>
        <v/>
      </c>
      <c r="R179" s="114">
        <f t="shared" si="22"/>
        <v>0</v>
      </c>
      <c r="S179" s="126" t="str">
        <f t="shared" si="16"/>
        <v/>
      </c>
      <c r="T179" s="126" t="str">
        <f t="shared" si="23"/>
        <v/>
      </c>
      <c r="U179" s="100"/>
    </row>
    <row r="180" spans="2:21" s="4" customFormat="1" ht="15.75" x14ac:dyDescent="0.25">
      <c r="B180" s="95">
        <f t="shared" si="21"/>
        <v>176</v>
      </c>
      <c r="C180" s="95"/>
      <c r="D180" s="95"/>
      <c r="E180" s="96"/>
      <c r="F180" s="96"/>
      <c r="G180" s="95"/>
      <c r="H180" s="115"/>
      <c r="I180" s="112"/>
      <c r="J180" s="112"/>
      <c r="K180" s="113" t="str">
        <f t="shared" si="18"/>
        <v/>
      </c>
      <c r="L180" s="112"/>
      <c r="M180" s="113" t="str">
        <f t="shared" si="19"/>
        <v/>
      </c>
      <c r="N180" s="112"/>
      <c r="O180" s="112">
        <v>0</v>
      </c>
      <c r="P180" s="116">
        <v>0</v>
      </c>
      <c r="Q180" s="126" t="str">
        <f t="shared" si="20"/>
        <v/>
      </c>
      <c r="R180" s="114">
        <f t="shared" si="22"/>
        <v>0</v>
      </c>
      <c r="S180" s="126" t="str">
        <f t="shared" si="16"/>
        <v/>
      </c>
      <c r="T180" s="126" t="str">
        <f t="shared" si="23"/>
        <v/>
      </c>
      <c r="U180" s="100"/>
    </row>
    <row r="181" spans="2:21" s="4" customFormat="1" ht="15.75" x14ac:dyDescent="0.25">
      <c r="B181" s="95">
        <f t="shared" si="21"/>
        <v>177</v>
      </c>
      <c r="C181" s="95"/>
      <c r="D181" s="95"/>
      <c r="E181" s="96"/>
      <c r="F181" s="96"/>
      <c r="G181" s="95"/>
      <c r="H181" s="115"/>
      <c r="I181" s="112"/>
      <c r="J181" s="112"/>
      <c r="K181" s="113" t="str">
        <f t="shared" si="18"/>
        <v/>
      </c>
      <c r="L181" s="112"/>
      <c r="M181" s="113" t="str">
        <f t="shared" si="19"/>
        <v/>
      </c>
      <c r="N181" s="112"/>
      <c r="O181" s="112">
        <v>0</v>
      </c>
      <c r="P181" s="116">
        <v>0</v>
      </c>
      <c r="Q181" s="126" t="str">
        <f t="shared" si="20"/>
        <v/>
      </c>
      <c r="R181" s="114">
        <f t="shared" si="22"/>
        <v>0</v>
      </c>
      <c r="S181" s="126" t="str">
        <f t="shared" si="16"/>
        <v/>
      </c>
      <c r="T181" s="126" t="str">
        <f t="shared" si="23"/>
        <v/>
      </c>
      <c r="U181" s="100"/>
    </row>
    <row r="182" spans="2:21" s="4" customFormat="1" ht="15.75" x14ac:dyDescent="0.25">
      <c r="B182" s="95">
        <f t="shared" si="21"/>
        <v>178</v>
      </c>
      <c r="C182" s="95"/>
      <c r="D182" s="95"/>
      <c r="E182" s="96"/>
      <c r="F182" s="96"/>
      <c r="G182" s="95"/>
      <c r="H182" s="115"/>
      <c r="I182" s="112"/>
      <c r="J182" s="112"/>
      <c r="K182" s="113" t="str">
        <f t="shared" si="18"/>
        <v/>
      </c>
      <c r="L182" s="112"/>
      <c r="M182" s="113" t="str">
        <f t="shared" si="19"/>
        <v/>
      </c>
      <c r="N182" s="112"/>
      <c r="O182" s="112">
        <v>0</v>
      </c>
      <c r="P182" s="116">
        <v>0</v>
      </c>
      <c r="Q182" s="126" t="str">
        <f t="shared" si="20"/>
        <v/>
      </c>
      <c r="R182" s="114">
        <f t="shared" si="22"/>
        <v>0</v>
      </c>
      <c r="S182" s="126" t="str">
        <f t="shared" si="16"/>
        <v/>
      </c>
      <c r="T182" s="126" t="str">
        <f t="shared" si="23"/>
        <v/>
      </c>
      <c r="U182" s="100"/>
    </row>
    <row r="183" spans="2:21" s="4" customFormat="1" ht="15.75" x14ac:dyDescent="0.25">
      <c r="B183" s="95">
        <f t="shared" si="21"/>
        <v>179</v>
      </c>
      <c r="C183" s="95"/>
      <c r="D183" s="95"/>
      <c r="E183" s="96"/>
      <c r="F183" s="96"/>
      <c r="G183" s="95"/>
      <c r="H183" s="115"/>
      <c r="I183" s="112"/>
      <c r="J183" s="112"/>
      <c r="K183" s="113" t="str">
        <f t="shared" si="18"/>
        <v/>
      </c>
      <c r="L183" s="112"/>
      <c r="M183" s="113" t="str">
        <f t="shared" si="19"/>
        <v/>
      </c>
      <c r="N183" s="112"/>
      <c r="O183" s="112">
        <v>0</v>
      </c>
      <c r="P183" s="116">
        <v>0</v>
      </c>
      <c r="Q183" s="126" t="str">
        <f t="shared" si="20"/>
        <v/>
      </c>
      <c r="R183" s="114">
        <f t="shared" si="22"/>
        <v>0</v>
      </c>
      <c r="S183" s="126" t="str">
        <f t="shared" si="16"/>
        <v/>
      </c>
      <c r="T183" s="126" t="str">
        <f t="shared" si="23"/>
        <v/>
      </c>
      <c r="U183" s="100"/>
    </row>
    <row r="184" spans="2:21" s="4" customFormat="1" ht="15.75" x14ac:dyDescent="0.25">
      <c r="B184" s="95">
        <f t="shared" si="21"/>
        <v>180</v>
      </c>
      <c r="C184" s="95"/>
      <c r="D184" s="95"/>
      <c r="E184" s="96"/>
      <c r="F184" s="96"/>
      <c r="G184" s="95"/>
      <c r="H184" s="115"/>
      <c r="I184" s="112"/>
      <c r="J184" s="112"/>
      <c r="K184" s="113" t="str">
        <f t="shared" si="18"/>
        <v/>
      </c>
      <c r="L184" s="112"/>
      <c r="M184" s="113" t="str">
        <f t="shared" si="19"/>
        <v/>
      </c>
      <c r="N184" s="112"/>
      <c r="O184" s="112">
        <v>0</v>
      </c>
      <c r="P184" s="116">
        <v>0</v>
      </c>
      <c r="Q184" s="126" t="str">
        <f t="shared" si="20"/>
        <v/>
      </c>
      <c r="R184" s="114">
        <f t="shared" si="22"/>
        <v>0</v>
      </c>
      <c r="S184" s="126" t="str">
        <f t="shared" si="16"/>
        <v/>
      </c>
      <c r="T184" s="126" t="str">
        <f t="shared" si="23"/>
        <v/>
      </c>
      <c r="U184" s="100"/>
    </row>
    <row r="185" spans="2:21" s="4" customFormat="1" ht="15.75" x14ac:dyDescent="0.25">
      <c r="B185" s="95">
        <f t="shared" si="21"/>
        <v>181</v>
      </c>
      <c r="C185" s="95"/>
      <c r="D185" s="95"/>
      <c r="E185" s="96"/>
      <c r="F185" s="96"/>
      <c r="G185" s="95"/>
      <c r="H185" s="115"/>
      <c r="I185" s="112"/>
      <c r="J185" s="112"/>
      <c r="K185" s="113" t="str">
        <f t="shared" si="18"/>
        <v/>
      </c>
      <c r="L185" s="112"/>
      <c r="M185" s="113" t="str">
        <f t="shared" si="19"/>
        <v/>
      </c>
      <c r="N185" s="112"/>
      <c r="O185" s="112">
        <v>0</v>
      </c>
      <c r="P185" s="116">
        <v>0</v>
      </c>
      <c r="Q185" s="126" t="str">
        <f t="shared" si="20"/>
        <v/>
      </c>
      <c r="R185" s="114">
        <f t="shared" si="22"/>
        <v>0</v>
      </c>
      <c r="S185" s="126" t="str">
        <f t="shared" si="16"/>
        <v/>
      </c>
      <c r="T185" s="126" t="str">
        <f t="shared" si="23"/>
        <v/>
      </c>
      <c r="U185" s="100"/>
    </row>
    <row r="186" spans="2:21" s="4" customFormat="1" ht="15.75" x14ac:dyDescent="0.25">
      <c r="B186" s="95">
        <f t="shared" si="21"/>
        <v>182</v>
      </c>
      <c r="C186" s="95"/>
      <c r="D186" s="95"/>
      <c r="E186" s="96"/>
      <c r="F186" s="96"/>
      <c r="G186" s="95"/>
      <c r="H186" s="115"/>
      <c r="I186" s="112"/>
      <c r="J186" s="112"/>
      <c r="K186" s="113" t="str">
        <f t="shared" si="18"/>
        <v/>
      </c>
      <c r="L186" s="112"/>
      <c r="M186" s="113" t="str">
        <f t="shared" si="19"/>
        <v/>
      </c>
      <c r="N186" s="112"/>
      <c r="O186" s="112">
        <v>0</v>
      </c>
      <c r="P186" s="116">
        <v>0</v>
      </c>
      <c r="Q186" s="126" t="str">
        <f t="shared" si="20"/>
        <v/>
      </c>
      <c r="R186" s="114">
        <f t="shared" si="22"/>
        <v>0</v>
      </c>
      <c r="S186" s="126" t="str">
        <f t="shared" si="16"/>
        <v/>
      </c>
      <c r="T186" s="126" t="str">
        <f t="shared" si="23"/>
        <v/>
      </c>
      <c r="U186" s="100"/>
    </row>
    <row r="187" spans="2:21" s="4" customFormat="1" ht="15.75" x14ac:dyDescent="0.25">
      <c r="B187" s="95">
        <f t="shared" si="21"/>
        <v>183</v>
      </c>
      <c r="C187" s="95"/>
      <c r="D187" s="95"/>
      <c r="E187" s="96"/>
      <c r="F187" s="96"/>
      <c r="G187" s="95"/>
      <c r="H187" s="115"/>
      <c r="I187" s="112"/>
      <c r="J187" s="112"/>
      <c r="K187" s="113" t="str">
        <f t="shared" si="18"/>
        <v/>
      </c>
      <c r="L187" s="112"/>
      <c r="M187" s="113" t="str">
        <f t="shared" si="19"/>
        <v/>
      </c>
      <c r="N187" s="112"/>
      <c r="O187" s="112">
        <v>0</v>
      </c>
      <c r="P187" s="116">
        <v>0</v>
      </c>
      <c r="Q187" s="126" t="str">
        <f t="shared" si="20"/>
        <v/>
      </c>
      <c r="R187" s="114">
        <f t="shared" si="22"/>
        <v>0</v>
      </c>
      <c r="S187" s="126" t="str">
        <f t="shared" si="16"/>
        <v/>
      </c>
      <c r="T187" s="126" t="str">
        <f t="shared" si="23"/>
        <v/>
      </c>
      <c r="U187" s="100"/>
    </row>
    <row r="188" spans="2:21" s="4" customFormat="1" ht="15.75" x14ac:dyDescent="0.25">
      <c r="B188" s="95">
        <f t="shared" si="21"/>
        <v>184</v>
      </c>
      <c r="C188" s="95"/>
      <c r="D188" s="95"/>
      <c r="E188" s="96"/>
      <c r="F188" s="96"/>
      <c r="G188" s="95"/>
      <c r="H188" s="115"/>
      <c r="I188" s="112"/>
      <c r="J188" s="112"/>
      <c r="K188" s="113" t="str">
        <f t="shared" si="18"/>
        <v/>
      </c>
      <c r="L188" s="112"/>
      <c r="M188" s="113" t="str">
        <f t="shared" si="19"/>
        <v/>
      </c>
      <c r="N188" s="112"/>
      <c r="O188" s="112">
        <v>0</v>
      </c>
      <c r="P188" s="116">
        <v>0</v>
      </c>
      <c r="Q188" s="126" t="str">
        <f t="shared" si="20"/>
        <v/>
      </c>
      <c r="R188" s="114">
        <f t="shared" si="22"/>
        <v>0</v>
      </c>
      <c r="S188" s="126" t="str">
        <f t="shared" si="16"/>
        <v/>
      </c>
      <c r="T188" s="126" t="str">
        <f t="shared" si="23"/>
        <v/>
      </c>
      <c r="U188" s="100"/>
    </row>
    <row r="189" spans="2:21" s="4" customFormat="1" ht="15.75" x14ac:dyDescent="0.25">
      <c r="B189" s="95">
        <f t="shared" si="21"/>
        <v>185</v>
      </c>
      <c r="C189" s="95"/>
      <c r="D189" s="95"/>
      <c r="E189" s="96"/>
      <c r="F189" s="96"/>
      <c r="G189" s="95"/>
      <c r="H189" s="115"/>
      <c r="I189" s="112"/>
      <c r="J189" s="112"/>
      <c r="K189" s="113" t="str">
        <f t="shared" si="18"/>
        <v/>
      </c>
      <c r="L189" s="112"/>
      <c r="M189" s="113" t="str">
        <f t="shared" si="19"/>
        <v/>
      </c>
      <c r="N189" s="112"/>
      <c r="O189" s="112">
        <v>0</v>
      </c>
      <c r="P189" s="116">
        <v>0</v>
      </c>
      <c r="Q189" s="126" t="str">
        <f t="shared" si="20"/>
        <v/>
      </c>
      <c r="R189" s="114">
        <f t="shared" si="22"/>
        <v>0</v>
      </c>
      <c r="S189" s="126" t="str">
        <f t="shared" si="16"/>
        <v/>
      </c>
      <c r="T189" s="126" t="str">
        <f t="shared" si="23"/>
        <v/>
      </c>
      <c r="U189" s="100"/>
    </row>
    <row r="190" spans="2:21" s="4" customFormat="1" ht="15.75" x14ac:dyDescent="0.25">
      <c r="B190" s="95">
        <f t="shared" si="21"/>
        <v>186</v>
      </c>
      <c r="C190" s="95"/>
      <c r="D190" s="95"/>
      <c r="E190" s="96"/>
      <c r="F190" s="96"/>
      <c r="G190" s="95"/>
      <c r="H190" s="115"/>
      <c r="I190" s="112"/>
      <c r="J190" s="112"/>
      <c r="K190" s="113" t="str">
        <f t="shared" si="18"/>
        <v/>
      </c>
      <c r="L190" s="112"/>
      <c r="M190" s="113" t="str">
        <f t="shared" si="19"/>
        <v/>
      </c>
      <c r="N190" s="112"/>
      <c r="O190" s="112">
        <v>0</v>
      </c>
      <c r="P190" s="116">
        <v>0</v>
      </c>
      <c r="Q190" s="126" t="str">
        <f t="shared" si="20"/>
        <v/>
      </c>
      <c r="R190" s="114">
        <f t="shared" si="22"/>
        <v>0</v>
      </c>
      <c r="S190" s="126" t="str">
        <f t="shared" ref="S190:S253" si="24">IF(R190,R190/I190,"")</f>
        <v/>
      </c>
      <c r="T190" s="126" t="str">
        <f t="shared" si="23"/>
        <v/>
      </c>
      <c r="U190" s="100"/>
    </row>
    <row r="191" spans="2:21" s="4" customFormat="1" ht="15.75" x14ac:dyDescent="0.25">
      <c r="B191" s="95">
        <f t="shared" si="21"/>
        <v>187</v>
      </c>
      <c r="C191" s="95"/>
      <c r="D191" s="95"/>
      <c r="E191" s="96"/>
      <c r="F191" s="96"/>
      <c r="G191" s="95"/>
      <c r="H191" s="115"/>
      <c r="I191" s="112"/>
      <c r="J191" s="112"/>
      <c r="K191" s="113" t="str">
        <f t="shared" si="18"/>
        <v/>
      </c>
      <c r="L191" s="112"/>
      <c r="M191" s="113" t="str">
        <f t="shared" si="19"/>
        <v/>
      </c>
      <c r="N191" s="112"/>
      <c r="O191" s="112">
        <v>0</v>
      </c>
      <c r="P191" s="116">
        <v>0</v>
      </c>
      <c r="Q191" s="126" t="str">
        <f t="shared" si="20"/>
        <v/>
      </c>
      <c r="R191" s="114">
        <f t="shared" si="22"/>
        <v>0</v>
      </c>
      <c r="S191" s="126" t="str">
        <f t="shared" si="24"/>
        <v/>
      </c>
      <c r="T191" s="126" t="str">
        <f t="shared" si="23"/>
        <v/>
      </c>
      <c r="U191" s="100"/>
    </row>
    <row r="192" spans="2:21" s="4" customFormat="1" ht="15.75" x14ac:dyDescent="0.25">
      <c r="B192" s="95">
        <f t="shared" si="21"/>
        <v>188</v>
      </c>
      <c r="C192" s="95"/>
      <c r="D192" s="95"/>
      <c r="E192" s="96"/>
      <c r="F192" s="96"/>
      <c r="G192" s="95"/>
      <c r="H192" s="115"/>
      <c r="I192" s="112"/>
      <c r="J192" s="112"/>
      <c r="K192" s="113" t="str">
        <f t="shared" si="18"/>
        <v/>
      </c>
      <c r="L192" s="112"/>
      <c r="M192" s="113" t="str">
        <f t="shared" si="19"/>
        <v/>
      </c>
      <c r="N192" s="112"/>
      <c r="O192" s="112">
        <v>0</v>
      </c>
      <c r="P192" s="116">
        <v>0</v>
      </c>
      <c r="Q192" s="126" t="str">
        <f t="shared" si="20"/>
        <v/>
      </c>
      <c r="R192" s="114">
        <f t="shared" si="22"/>
        <v>0</v>
      </c>
      <c r="S192" s="126" t="str">
        <f t="shared" si="24"/>
        <v/>
      </c>
      <c r="T192" s="126" t="str">
        <f t="shared" si="23"/>
        <v/>
      </c>
      <c r="U192" s="100"/>
    </row>
    <row r="193" spans="2:25" s="4" customFormat="1" ht="15.75" x14ac:dyDescent="0.25">
      <c r="B193" s="95">
        <f t="shared" si="21"/>
        <v>189</v>
      </c>
      <c r="C193" s="95"/>
      <c r="D193" s="95"/>
      <c r="E193" s="96"/>
      <c r="F193" s="96"/>
      <c r="G193" s="95"/>
      <c r="H193" s="115"/>
      <c r="I193" s="112"/>
      <c r="J193" s="112"/>
      <c r="K193" s="113" t="str">
        <f t="shared" si="18"/>
        <v/>
      </c>
      <c r="L193" s="112"/>
      <c r="M193" s="113" t="str">
        <f t="shared" si="19"/>
        <v/>
      </c>
      <c r="N193" s="112"/>
      <c r="O193" s="112">
        <v>0</v>
      </c>
      <c r="P193" s="116">
        <v>0</v>
      </c>
      <c r="Q193" s="126" t="str">
        <f t="shared" si="20"/>
        <v/>
      </c>
      <c r="R193" s="114">
        <f t="shared" si="22"/>
        <v>0</v>
      </c>
      <c r="S193" s="126" t="str">
        <f t="shared" si="24"/>
        <v/>
      </c>
      <c r="T193" s="126" t="str">
        <f t="shared" si="23"/>
        <v/>
      </c>
      <c r="U193" s="100"/>
    </row>
    <row r="194" spans="2:25" s="4" customFormat="1" ht="15.75" x14ac:dyDescent="0.25">
      <c r="B194" s="95">
        <f t="shared" si="21"/>
        <v>190</v>
      </c>
      <c r="C194" s="95"/>
      <c r="D194" s="95"/>
      <c r="E194" s="96"/>
      <c r="F194" s="96"/>
      <c r="G194" s="95"/>
      <c r="H194" s="115"/>
      <c r="I194" s="112"/>
      <c r="J194" s="112"/>
      <c r="K194" s="113" t="str">
        <f t="shared" si="18"/>
        <v/>
      </c>
      <c r="L194" s="112"/>
      <c r="M194" s="113" t="str">
        <f t="shared" si="19"/>
        <v/>
      </c>
      <c r="N194" s="112"/>
      <c r="O194" s="112">
        <v>0</v>
      </c>
      <c r="P194" s="116">
        <v>0</v>
      </c>
      <c r="Q194" s="126" t="str">
        <f t="shared" si="20"/>
        <v/>
      </c>
      <c r="R194" s="114">
        <f t="shared" si="22"/>
        <v>0</v>
      </c>
      <c r="S194" s="126" t="str">
        <f t="shared" si="24"/>
        <v/>
      </c>
      <c r="T194" s="126" t="str">
        <f t="shared" si="23"/>
        <v/>
      </c>
      <c r="U194" s="100"/>
    </row>
    <row r="195" spans="2:25" s="4" customFormat="1" ht="15.75" x14ac:dyDescent="0.25">
      <c r="B195" s="95">
        <f t="shared" si="21"/>
        <v>191</v>
      </c>
      <c r="C195" s="95"/>
      <c r="D195" s="95"/>
      <c r="E195" s="96"/>
      <c r="F195" s="96"/>
      <c r="G195" s="95"/>
      <c r="H195" s="115"/>
      <c r="I195" s="112"/>
      <c r="J195" s="112"/>
      <c r="K195" s="113" t="str">
        <f t="shared" si="18"/>
        <v/>
      </c>
      <c r="L195" s="112"/>
      <c r="M195" s="113" t="str">
        <f t="shared" si="19"/>
        <v/>
      </c>
      <c r="N195" s="112"/>
      <c r="O195" s="112">
        <v>0</v>
      </c>
      <c r="P195" s="116">
        <v>0</v>
      </c>
      <c r="Q195" s="126" t="str">
        <f t="shared" si="20"/>
        <v/>
      </c>
      <c r="R195" s="114">
        <f t="shared" si="22"/>
        <v>0</v>
      </c>
      <c r="S195" s="126" t="str">
        <f t="shared" si="24"/>
        <v/>
      </c>
      <c r="T195" s="126" t="str">
        <f t="shared" si="23"/>
        <v/>
      </c>
      <c r="U195" s="100"/>
    </row>
    <row r="196" spans="2:25" s="4" customFormat="1" ht="15.75" x14ac:dyDescent="0.25">
      <c r="B196" s="95">
        <f t="shared" si="21"/>
        <v>192</v>
      </c>
      <c r="C196" s="95"/>
      <c r="D196" s="95"/>
      <c r="E196" s="96"/>
      <c r="F196" s="96"/>
      <c r="G196" s="95"/>
      <c r="H196" s="115"/>
      <c r="I196" s="112"/>
      <c r="J196" s="112"/>
      <c r="K196" s="113" t="str">
        <f t="shared" si="18"/>
        <v/>
      </c>
      <c r="L196" s="112"/>
      <c r="M196" s="113" t="str">
        <f t="shared" si="19"/>
        <v/>
      </c>
      <c r="N196" s="112"/>
      <c r="O196" s="112">
        <v>0</v>
      </c>
      <c r="P196" s="116">
        <v>0</v>
      </c>
      <c r="Q196" s="126" t="str">
        <f t="shared" si="20"/>
        <v/>
      </c>
      <c r="R196" s="114">
        <f t="shared" si="22"/>
        <v>0</v>
      </c>
      <c r="S196" s="126" t="str">
        <f t="shared" si="24"/>
        <v/>
      </c>
      <c r="T196" s="126" t="str">
        <f t="shared" si="23"/>
        <v/>
      </c>
      <c r="U196" s="100"/>
    </row>
    <row r="197" spans="2:25" s="4" customFormat="1" ht="15.75" x14ac:dyDescent="0.25">
      <c r="B197" s="95">
        <f t="shared" si="21"/>
        <v>193</v>
      </c>
      <c r="C197" s="95"/>
      <c r="D197" s="95"/>
      <c r="E197" s="96"/>
      <c r="F197" s="96"/>
      <c r="G197" s="95"/>
      <c r="H197" s="115"/>
      <c r="I197" s="112"/>
      <c r="J197" s="112"/>
      <c r="K197" s="113" t="str">
        <f t="shared" ref="K197:K260" si="25">IF(J197,(I197-J197)/I197,"")</f>
        <v/>
      </c>
      <c r="L197" s="112"/>
      <c r="M197" s="113" t="str">
        <f t="shared" ref="M197:M260" si="26">IF(J197,L197/I197,"")</f>
        <v/>
      </c>
      <c r="N197" s="112"/>
      <c r="O197" s="112">
        <v>0</v>
      </c>
      <c r="P197" s="116">
        <v>0</v>
      </c>
      <c r="Q197" s="126" t="str">
        <f t="shared" ref="Q197:Q260" si="27">IF(P197,P197/I197,"")</f>
        <v/>
      </c>
      <c r="R197" s="114">
        <f t="shared" si="22"/>
        <v>0</v>
      </c>
      <c r="S197" s="126" t="str">
        <f t="shared" si="24"/>
        <v/>
      </c>
      <c r="T197" s="126" t="str">
        <f t="shared" si="23"/>
        <v/>
      </c>
      <c r="U197" s="100"/>
    </row>
    <row r="198" spans="2:25" s="4" customFormat="1" ht="15.75" x14ac:dyDescent="0.25">
      <c r="B198" s="95">
        <f t="shared" ref="B198:B261" si="28">B197+1</f>
        <v>194</v>
      </c>
      <c r="C198" s="95"/>
      <c r="D198" s="95"/>
      <c r="E198" s="96"/>
      <c r="F198" s="96"/>
      <c r="G198" s="95"/>
      <c r="H198" s="115"/>
      <c r="I198" s="112"/>
      <c r="J198" s="112"/>
      <c r="K198" s="113" t="str">
        <f t="shared" si="25"/>
        <v/>
      </c>
      <c r="L198" s="112"/>
      <c r="M198" s="113" t="str">
        <f t="shared" si="26"/>
        <v/>
      </c>
      <c r="N198" s="112"/>
      <c r="O198" s="112">
        <v>0</v>
      </c>
      <c r="P198" s="116">
        <v>0</v>
      </c>
      <c r="Q198" s="126" t="str">
        <f t="shared" si="27"/>
        <v/>
      </c>
      <c r="R198" s="114">
        <f t="shared" ref="R198:R261" si="29">J198-P198</f>
        <v>0</v>
      </c>
      <c r="S198" s="126" t="str">
        <f t="shared" si="24"/>
        <v/>
      </c>
      <c r="T198" s="126" t="str">
        <f t="shared" ref="T198:T261" si="30">IF(L198,K198-M198,"")</f>
        <v/>
      </c>
      <c r="U198" s="100"/>
    </row>
    <row r="199" spans="2:25" s="4" customFormat="1" ht="15.75" x14ac:dyDescent="0.25">
      <c r="B199" s="95">
        <f t="shared" si="28"/>
        <v>195</v>
      </c>
      <c r="C199" s="95"/>
      <c r="D199" s="95"/>
      <c r="E199" s="96"/>
      <c r="F199" s="96"/>
      <c r="G199" s="95"/>
      <c r="H199" s="115"/>
      <c r="I199" s="112"/>
      <c r="J199" s="112"/>
      <c r="K199" s="113" t="str">
        <f t="shared" si="25"/>
        <v/>
      </c>
      <c r="L199" s="112"/>
      <c r="M199" s="113" t="str">
        <f t="shared" si="26"/>
        <v/>
      </c>
      <c r="N199" s="112"/>
      <c r="O199" s="112">
        <v>0</v>
      </c>
      <c r="P199" s="116">
        <v>0</v>
      </c>
      <c r="Q199" s="126" t="str">
        <f t="shared" si="27"/>
        <v/>
      </c>
      <c r="R199" s="114">
        <f t="shared" si="29"/>
        <v>0</v>
      </c>
      <c r="S199" s="126" t="str">
        <f t="shared" si="24"/>
        <v/>
      </c>
      <c r="T199" s="126" t="str">
        <f t="shared" si="30"/>
        <v/>
      </c>
      <c r="U199" s="100"/>
    </row>
    <row r="200" spans="2:25" s="4" customFormat="1" ht="15.75" x14ac:dyDescent="0.25">
      <c r="B200" s="95">
        <f t="shared" si="28"/>
        <v>196</v>
      </c>
      <c r="C200" s="95"/>
      <c r="D200" s="95"/>
      <c r="E200" s="96"/>
      <c r="F200" s="96"/>
      <c r="G200" s="95"/>
      <c r="H200" s="115"/>
      <c r="I200" s="112"/>
      <c r="J200" s="112"/>
      <c r="K200" s="113" t="str">
        <f t="shared" si="25"/>
        <v/>
      </c>
      <c r="L200" s="112"/>
      <c r="M200" s="113" t="str">
        <f t="shared" si="26"/>
        <v/>
      </c>
      <c r="N200" s="112"/>
      <c r="O200" s="112">
        <v>0</v>
      </c>
      <c r="P200" s="116">
        <v>0</v>
      </c>
      <c r="Q200" s="126" t="str">
        <f t="shared" si="27"/>
        <v/>
      </c>
      <c r="R200" s="114">
        <f t="shared" si="29"/>
        <v>0</v>
      </c>
      <c r="S200" s="126" t="str">
        <f t="shared" si="24"/>
        <v/>
      </c>
      <c r="T200" s="126" t="str">
        <f t="shared" si="30"/>
        <v/>
      </c>
      <c r="U200" s="100"/>
    </row>
    <row r="201" spans="2:25" s="4" customFormat="1" ht="15.75" x14ac:dyDescent="0.25">
      <c r="B201" s="95">
        <f t="shared" si="28"/>
        <v>197</v>
      </c>
      <c r="C201" s="95"/>
      <c r="D201" s="95"/>
      <c r="E201" s="96"/>
      <c r="F201" s="96"/>
      <c r="G201" s="95"/>
      <c r="H201" s="115"/>
      <c r="I201" s="112"/>
      <c r="J201" s="112"/>
      <c r="K201" s="113" t="str">
        <f t="shared" si="25"/>
        <v/>
      </c>
      <c r="L201" s="112"/>
      <c r="M201" s="113" t="str">
        <f t="shared" si="26"/>
        <v/>
      </c>
      <c r="N201" s="112"/>
      <c r="O201" s="112">
        <v>0</v>
      </c>
      <c r="P201" s="116">
        <v>0</v>
      </c>
      <c r="Q201" s="126" t="str">
        <f t="shared" si="27"/>
        <v/>
      </c>
      <c r="R201" s="114">
        <f t="shared" si="29"/>
        <v>0</v>
      </c>
      <c r="S201" s="126" t="str">
        <f t="shared" si="24"/>
        <v/>
      </c>
      <c r="T201" s="126" t="str">
        <f t="shared" si="30"/>
        <v/>
      </c>
      <c r="U201" s="100"/>
      <c r="Y201" s="101"/>
    </row>
    <row r="202" spans="2:25" s="4" customFormat="1" ht="15.75" x14ac:dyDescent="0.25">
      <c r="B202" s="95">
        <f t="shared" si="28"/>
        <v>198</v>
      </c>
      <c r="C202" s="95"/>
      <c r="D202" s="95"/>
      <c r="E202" s="96"/>
      <c r="F202" s="96"/>
      <c r="G202" s="95"/>
      <c r="H202" s="115"/>
      <c r="I202" s="112"/>
      <c r="J202" s="112"/>
      <c r="K202" s="113" t="str">
        <f t="shared" si="25"/>
        <v/>
      </c>
      <c r="L202" s="112"/>
      <c r="M202" s="113" t="str">
        <f t="shared" si="26"/>
        <v/>
      </c>
      <c r="N202" s="112"/>
      <c r="O202" s="112">
        <v>0</v>
      </c>
      <c r="P202" s="116">
        <v>0</v>
      </c>
      <c r="Q202" s="126" t="str">
        <f t="shared" si="27"/>
        <v/>
      </c>
      <c r="R202" s="114">
        <f t="shared" si="29"/>
        <v>0</v>
      </c>
      <c r="S202" s="126" t="str">
        <f t="shared" si="24"/>
        <v/>
      </c>
      <c r="T202" s="126" t="str">
        <f t="shared" si="30"/>
        <v/>
      </c>
      <c r="U202" s="100"/>
    </row>
    <row r="203" spans="2:25" s="4" customFormat="1" ht="15.75" x14ac:dyDescent="0.25">
      <c r="B203" s="95">
        <f t="shared" si="28"/>
        <v>199</v>
      </c>
      <c r="C203" s="95"/>
      <c r="D203" s="95"/>
      <c r="E203" s="96"/>
      <c r="F203" s="96"/>
      <c r="G203" s="95"/>
      <c r="H203" s="115"/>
      <c r="I203" s="112"/>
      <c r="J203" s="112"/>
      <c r="K203" s="113" t="str">
        <f t="shared" si="25"/>
        <v/>
      </c>
      <c r="L203" s="112"/>
      <c r="M203" s="113" t="str">
        <f t="shared" si="26"/>
        <v/>
      </c>
      <c r="N203" s="112"/>
      <c r="O203" s="112">
        <v>0</v>
      </c>
      <c r="P203" s="116">
        <v>0</v>
      </c>
      <c r="Q203" s="126" t="str">
        <f t="shared" si="27"/>
        <v/>
      </c>
      <c r="R203" s="114">
        <f t="shared" si="29"/>
        <v>0</v>
      </c>
      <c r="S203" s="126" t="str">
        <f t="shared" si="24"/>
        <v/>
      </c>
      <c r="T203" s="126" t="str">
        <f t="shared" si="30"/>
        <v/>
      </c>
      <c r="U203" s="100"/>
    </row>
    <row r="204" spans="2:25" s="4" customFormat="1" ht="15.75" x14ac:dyDescent="0.25">
      <c r="B204" s="95">
        <f t="shared" si="28"/>
        <v>200</v>
      </c>
      <c r="C204" s="95"/>
      <c r="D204" s="95"/>
      <c r="E204" s="96"/>
      <c r="F204" s="96"/>
      <c r="G204" s="95"/>
      <c r="H204" s="115"/>
      <c r="I204" s="112"/>
      <c r="J204" s="112"/>
      <c r="K204" s="113" t="str">
        <f t="shared" si="25"/>
        <v/>
      </c>
      <c r="L204" s="112"/>
      <c r="M204" s="113" t="str">
        <f t="shared" si="26"/>
        <v/>
      </c>
      <c r="N204" s="112"/>
      <c r="O204" s="112">
        <v>0</v>
      </c>
      <c r="P204" s="116">
        <v>0</v>
      </c>
      <c r="Q204" s="126" t="str">
        <f t="shared" si="27"/>
        <v/>
      </c>
      <c r="R204" s="114">
        <f t="shared" si="29"/>
        <v>0</v>
      </c>
      <c r="S204" s="126" t="str">
        <f t="shared" si="24"/>
        <v/>
      </c>
      <c r="T204" s="126" t="str">
        <f t="shared" si="30"/>
        <v/>
      </c>
      <c r="U204" s="100"/>
    </row>
    <row r="205" spans="2:25" s="4" customFormat="1" ht="15.75" x14ac:dyDescent="0.25">
      <c r="B205" s="95">
        <f t="shared" si="28"/>
        <v>201</v>
      </c>
      <c r="C205" s="95"/>
      <c r="D205" s="95"/>
      <c r="E205" s="96"/>
      <c r="F205" s="96"/>
      <c r="G205" s="95"/>
      <c r="H205" s="115"/>
      <c r="I205" s="112"/>
      <c r="J205" s="112"/>
      <c r="K205" s="113" t="str">
        <f t="shared" si="25"/>
        <v/>
      </c>
      <c r="L205" s="112"/>
      <c r="M205" s="113" t="str">
        <f t="shared" si="26"/>
        <v/>
      </c>
      <c r="N205" s="112"/>
      <c r="O205" s="112">
        <v>0</v>
      </c>
      <c r="P205" s="116">
        <v>0</v>
      </c>
      <c r="Q205" s="126" t="str">
        <f t="shared" si="27"/>
        <v/>
      </c>
      <c r="R205" s="114">
        <f t="shared" si="29"/>
        <v>0</v>
      </c>
      <c r="S205" s="126" t="str">
        <f t="shared" si="24"/>
        <v/>
      </c>
      <c r="T205" s="126" t="str">
        <f t="shared" si="30"/>
        <v/>
      </c>
      <c r="U205" s="100"/>
    </row>
    <row r="206" spans="2:25" s="4" customFormat="1" ht="15.75" x14ac:dyDescent="0.25">
      <c r="B206" s="95">
        <f t="shared" si="28"/>
        <v>202</v>
      </c>
      <c r="C206" s="95"/>
      <c r="D206" s="95"/>
      <c r="E206" s="96"/>
      <c r="F206" s="96"/>
      <c r="G206" s="95"/>
      <c r="H206" s="115"/>
      <c r="I206" s="112"/>
      <c r="J206" s="112"/>
      <c r="K206" s="113" t="str">
        <f t="shared" si="25"/>
        <v/>
      </c>
      <c r="L206" s="112"/>
      <c r="M206" s="113" t="str">
        <f t="shared" si="26"/>
        <v/>
      </c>
      <c r="N206" s="112"/>
      <c r="O206" s="112">
        <v>0</v>
      </c>
      <c r="P206" s="116">
        <v>0</v>
      </c>
      <c r="Q206" s="126" t="str">
        <f t="shared" si="27"/>
        <v/>
      </c>
      <c r="R206" s="114">
        <f t="shared" si="29"/>
        <v>0</v>
      </c>
      <c r="S206" s="126" t="str">
        <f t="shared" si="24"/>
        <v/>
      </c>
      <c r="T206" s="126" t="str">
        <f t="shared" si="30"/>
        <v/>
      </c>
      <c r="U206" s="100"/>
    </row>
    <row r="207" spans="2:25" s="4" customFormat="1" ht="15.75" x14ac:dyDescent="0.25">
      <c r="B207" s="95">
        <f t="shared" si="28"/>
        <v>203</v>
      </c>
      <c r="C207" s="95"/>
      <c r="D207" s="95"/>
      <c r="E207" s="96"/>
      <c r="F207" s="96"/>
      <c r="G207" s="95"/>
      <c r="H207" s="115"/>
      <c r="I207" s="112"/>
      <c r="J207" s="112"/>
      <c r="K207" s="113" t="str">
        <f t="shared" si="25"/>
        <v/>
      </c>
      <c r="L207" s="112"/>
      <c r="M207" s="113" t="str">
        <f t="shared" si="26"/>
        <v/>
      </c>
      <c r="N207" s="112"/>
      <c r="O207" s="112">
        <v>0</v>
      </c>
      <c r="P207" s="116">
        <v>0</v>
      </c>
      <c r="Q207" s="126" t="str">
        <f t="shared" si="27"/>
        <v/>
      </c>
      <c r="R207" s="114">
        <f t="shared" si="29"/>
        <v>0</v>
      </c>
      <c r="S207" s="126" t="str">
        <f t="shared" si="24"/>
        <v/>
      </c>
      <c r="T207" s="126" t="str">
        <f t="shared" si="30"/>
        <v/>
      </c>
      <c r="U207" s="100"/>
    </row>
    <row r="208" spans="2:25" s="4" customFormat="1" ht="15.75" x14ac:dyDescent="0.25">
      <c r="B208" s="95">
        <f t="shared" si="28"/>
        <v>204</v>
      </c>
      <c r="C208" s="95"/>
      <c r="D208" s="95"/>
      <c r="E208" s="96"/>
      <c r="F208" s="96"/>
      <c r="G208" s="95"/>
      <c r="H208" s="115"/>
      <c r="I208" s="112"/>
      <c r="J208" s="112"/>
      <c r="K208" s="113" t="str">
        <f t="shared" si="25"/>
        <v/>
      </c>
      <c r="L208" s="112"/>
      <c r="M208" s="113" t="str">
        <f t="shared" si="26"/>
        <v/>
      </c>
      <c r="N208" s="112"/>
      <c r="O208" s="112">
        <v>0</v>
      </c>
      <c r="P208" s="116">
        <v>0</v>
      </c>
      <c r="Q208" s="126" t="str">
        <f t="shared" si="27"/>
        <v/>
      </c>
      <c r="R208" s="114">
        <f t="shared" si="29"/>
        <v>0</v>
      </c>
      <c r="S208" s="126" t="str">
        <f t="shared" si="24"/>
        <v/>
      </c>
      <c r="T208" s="126" t="str">
        <f t="shared" si="30"/>
        <v/>
      </c>
      <c r="U208" s="100"/>
    </row>
    <row r="209" spans="2:26" s="4" customFormat="1" ht="15.75" x14ac:dyDescent="0.25">
      <c r="B209" s="95">
        <f t="shared" si="28"/>
        <v>205</v>
      </c>
      <c r="C209" s="95"/>
      <c r="D209" s="95"/>
      <c r="E209" s="96"/>
      <c r="F209" s="96"/>
      <c r="G209" s="95"/>
      <c r="H209" s="115"/>
      <c r="I209" s="112"/>
      <c r="J209" s="112"/>
      <c r="K209" s="113" t="str">
        <f t="shared" si="25"/>
        <v/>
      </c>
      <c r="L209" s="112"/>
      <c r="M209" s="113" t="str">
        <f t="shared" si="26"/>
        <v/>
      </c>
      <c r="N209" s="112"/>
      <c r="O209" s="112">
        <v>0</v>
      </c>
      <c r="P209" s="116">
        <v>0</v>
      </c>
      <c r="Q209" s="126" t="str">
        <f t="shared" si="27"/>
        <v/>
      </c>
      <c r="R209" s="114">
        <f t="shared" si="29"/>
        <v>0</v>
      </c>
      <c r="S209" s="126" t="str">
        <f t="shared" si="24"/>
        <v/>
      </c>
      <c r="T209" s="126" t="str">
        <f t="shared" si="30"/>
        <v/>
      </c>
      <c r="U209" s="100"/>
    </row>
    <row r="210" spans="2:26" s="4" customFormat="1" ht="15.75" x14ac:dyDescent="0.25">
      <c r="B210" s="95">
        <f t="shared" si="28"/>
        <v>206</v>
      </c>
      <c r="C210" s="95"/>
      <c r="D210" s="95"/>
      <c r="E210" s="96"/>
      <c r="F210" s="96"/>
      <c r="G210" s="95"/>
      <c r="H210" s="115"/>
      <c r="I210" s="112"/>
      <c r="J210" s="112"/>
      <c r="K210" s="113" t="str">
        <f t="shared" si="25"/>
        <v/>
      </c>
      <c r="L210" s="112"/>
      <c r="M210" s="113" t="str">
        <f t="shared" si="26"/>
        <v/>
      </c>
      <c r="N210" s="112"/>
      <c r="O210" s="112">
        <v>0</v>
      </c>
      <c r="P210" s="116">
        <v>0</v>
      </c>
      <c r="Q210" s="126" t="str">
        <f t="shared" si="27"/>
        <v/>
      </c>
      <c r="R210" s="114">
        <f t="shared" si="29"/>
        <v>0</v>
      </c>
      <c r="S210" s="126" t="str">
        <f t="shared" si="24"/>
        <v/>
      </c>
      <c r="T210" s="126" t="str">
        <f t="shared" si="30"/>
        <v/>
      </c>
      <c r="U210" s="100"/>
    </row>
    <row r="211" spans="2:26" s="4" customFormat="1" ht="15.75" x14ac:dyDescent="0.25">
      <c r="B211" s="95">
        <f t="shared" si="28"/>
        <v>207</v>
      </c>
      <c r="C211" s="95"/>
      <c r="D211" s="95"/>
      <c r="E211" s="96"/>
      <c r="F211" s="96"/>
      <c r="G211" s="95"/>
      <c r="H211" s="115"/>
      <c r="I211" s="112"/>
      <c r="J211" s="112"/>
      <c r="K211" s="113" t="str">
        <f t="shared" si="25"/>
        <v/>
      </c>
      <c r="L211" s="112"/>
      <c r="M211" s="113" t="str">
        <f t="shared" si="26"/>
        <v/>
      </c>
      <c r="N211" s="112"/>
      <c r="O211" s="112">
        <v>0</v>
      </c>
      <c r="P211" s="116">
        <v>0</v>
      </c>
      <c r="Q211" s="126" t="str">
        <f t="shared" si="27"/>
        <v/>
      </c>
      <c r="R211" s="114">
        <f t="shared" si="29"/>
        <v>0</v>
      </c>
      <c r="S211" s="126" t="str">
        <f t="shared" si="24"/>
        <v/>
      </c>
      <c r="T211" s="126" t="str">
        <f t="shared" si="30"/>
        <v/>
      </c>
      <c r="U211" s="100"/>
    </row>
    <row r="212" spans="2:26" s="4" customFormat="1" ht="15.75" x14ac:dyDescent="0.25">
      <c r="B212" s="95">
        <f t="shared" si="28"/>
        <v>208</v>
      </c>
      <c r="C212" s="95"/>
      <c r="D212" s="95"/>
      <c r="E212" s="96"/>
      <c r="F212" s="96"/>
      <c r="G212" s="95"/>
      <c r="H212" s="115"/>
      <c r="I212" s="112"/>
      <c r="J212" s="112"/>
      <c r="K212" s="113" t="str">
        <f t="shared" si="25"/>
        <v/>
      </c>
      <c r="L212" s="112"/>
      <c r="M212" s="113" t="str">
        <f t="shared" si="26"/>
        <v/>
      </c>
      <c r="N212" s="112"/>
      <c r="O212" s="112">
        <v>0</v>
      </c>
      <c r="P212" s="116">
        <v>0</v>
      </c>
      <c r="Q212" s="126" t="str">
        <f t="shared" si="27"/>
        <v/>
      </c>
      <c r="R212" s="114">
        <f t="shared" si="29"/>
        <v>0</v>
      </c>
      <c r="S212" s="126" t="str">
        <f t="shared" si="24"/>
        <v/>
      </c>
      <c r="T212" s="126" t="str">
        <f t="shared" si="30"/>
        <v/>
      </c>
      <c r="U212" s="100"/>
    </row>
    <row r="213" spans="2:26" s="4" customFormat="1" ht="15.75" x14ac:dyDescent="0.25">
      <c r="B213" s="95">
        <f t="shared" si="28"/>
        <v>209</v>
      </c>
      <c r="C213" s="95"/>
      <c r="D213" s="95"/>
      <c r="E213" s="96"/>
      <c r="F213" s="96"/>
      <c r="G213" s="95"/>
      <c r="H213" s="115"/>
      <c r="I213" s="112"/>
      <c r="J213" s="112"/>
      <c r="K213" s="113" t="str">
        <f t="shared" si="25"/>
        <v/>
      </c>
      <c r="L213" s="112"/>
      <c r="M213" s="113" t="str">
        <f t="shared" si="26"/>
        <v/>
      </c>
      <c r="N213" s="112"/>
      <c r="O213" s="112">
        <v>0</v>
      </c>
      <c r="P213" s="116">
        <v>0</v>
      </c>
      <c r="Q213" s="126" t="str">
        <f t="shared" si="27"/>
        <v/>
      </c>
      <c r="R213" s="114">
        <f t="shared" si="29"/>
        <v>0</v>
      </c>
      <c r="S213" s="126" t="str">
        <f t="shared" si="24"/>
        <v/>
      </c>
      <c r="T213" s="126" t="str">
        <f t="shared" si="30"/>
        <v/>
      </c>
      <c r="U213" s="100"/>
    </row>
    <row r="214" spans="2:26" s="4" customFormat="1" ht="15.75" x14ac:dyDescent="0.25">
      <c r="B214" s="95">
        <f t="shared" si="28"/>
        <v>210</v>
      </c>
      <c r="C214" s="95"/>
      <c r="D214" s="95"/>
      <c r="E214" s="96"/>
      <c r="F214" s="96"/>
      <c r="G214" s="95"/>
      <c r="H214" s="115"/>
      <c r="I214" s="112"/>
      <c r="J214" s="112"/>
      <c r="K214" s="113" t="str">
        <f t="shared" si="25"/>
        <v/>
      </c>
      <c r="L214" s="112"/>
      <c r="M214" s="113" t="str">
        <f t="shared" si="26"/>
        <v/>
      </c>
      <c r="N214" s="112"/>
      <c r="O214" s="112">
        <v>0</v>
      </c>
      <c r="P214" s="116">
        <v>0</v>
      </c>
      <c r="Q214" s="126" t="str">
        <f t="shared" si="27"/>
        <v/>
      </c>
      <c r="R214" s="114">
        <f t="shared" si="29"/>
        <v>0</v>
      </c>
      <c r="S214" s="126" t="str">
        <f t="shared" si="24"/>
        <v/>
      </c>
      <c r="T214" s="126" t="str">
        <f t="shared" si="30"/>
        <v/>
      </c>
      <c r="U214" s="100"/>
    </row>
    <row r="215" spans="2:26" s="4" customFormat="1" ht="15.75" x14ac:dyDescent="0.25">
      <c r="B215" s="95">
        <f t="shared" si="28"/>
        <v>211</v>
      </c>
      <c r="C215" s="95"/>
      <c r="D215" s="95"/>
      <c r="E215" s="96"/>
      <c r="F215" s="96"/>
      <c r="G215" s="95"/>
      <c r="H215" s="115"/>
      <c r="I215" s="112"/>
      <c r="J215" s="112"/>
      <c r="K215" s="113" t="str">
        <f t="shared" si="25"/>
        <v/>
      </c>
      <c r="L215" s="112"/>
      <c r="M215" s="113" t="str">
        <f t="shared" si="26"/>
        <v/>
      </c>
      <c r="N215" s="112"/>
      <c r="O215" s="112">
        <v>0</v>
      </c>
      <c r="P215" s="116">
        <v>0</v>
      </c>
      <c r="Q215" s="126" t="str">
        <f t="shared" si="27"/>
        <v/>
      </c>
      <c r="R215" s="114">
        <f t="shared" si="29"/>
        <v>0</v>
      </c>
      <c r="S215" s="126" t="str">
        <f t="shared" si="24"/>
        <v/>
      </c>
      <c r="T215" s="126" t="str">
        <f t="shared" si="30"/>
        <v/>
      </c>
      <c r="U215" s="100"/>
    </row>
    <row r="216" spans="2:26" s="4" customFormat="1" ht="15.75" x14ac:dyDescent="0.25">
      <c r="B216" s="95">
        <f t="shared" si="28"/>
        <v>212</v>
      </c>
      <c r="C216" s="95"/>
      <c r="D216" s="95"/>
      <c r="E216" s="96"/>
      <c r="F216" s="96"/>
      <c r="G216" s="95"/>
      <c r="H216" s="115"/>
      <c r="I216" s="112"/>
      <c r="J216" s="112"/>
      <c r="K216" s="113" t="str">
        <f t="shared" si="25"/>
        <v/>
      </c>
      <c r="L216" s="112"/>
      <c r="M216" s="113" t="str">
        <f t="shared" si="26"/>
        <v/>
      </c>
      <c r="N216" s="112"/>
      <c r="O216" s="112">
        <v>0</v>
      </c>
      <c r="P216" s="116">
        <v>0</v>
      </c>
      <c r="Q216" s="126" t="str">
        <f t="shared" si="27"/>
        <v/>
      </c>
      <c r="R216" s="114">
        <f t="shared" si="29"/>
        <v>0</v>
      </c>
      <c r="S216" s="126" t="str">
        <f t="shared" si="24"/>
        <v/>
      </c>
      <c r="T216" s="126" t="str">
        <f t="shared" si="30"/>
        <v/>
      </c>
      <c r="U216" s="100"/>
    </row>
    <row r="217" spans="2:26" s="4" customFormat="1" ht="15.75" x14ac:dyDescent="0.25">
      <c r="B217" s="95">
        <f t="shared" si="28"/>
        <v>213</v>
      </c>
      <c r="C217" s="95"/>
      <c r="D217" s="95"/>
      <c r="E217" s="96"/>
      <c r="F217" s="96"/>
      <c r="G217" s="95"/>
      <c r="H217" s="115"/>
      <c r="I217" s="112"/>
      <c r="J217" s="112"/>
      <c r="K217" s="113" t="str">
        <f t="shared" si="25"/>
        <v/>
      </c>
      <c r="L217" s="112"/>
      <c r="M217" s="113" t="str">
        <f t="shared" si="26"/>
        <v/>
      </c>
      <c r="N217" s="112"/>
      <c r="O217" s="112">
        <v>0</v>
      </c>
      <c r="P217" s="116">
        <v>0</v>
      </c>
      <c r="Q217" s="126" t="str">
        <f t="shared" si="27"/>
        <v/>
      </c>
      <c r="R217" s="114">
        <f t="shared" si="29"/>
        <v>0</v>
      </c>
      <c r="S217" s="126" t="str">
        <f t="shared" si="24"/>
        <v/>
      </c>
      <c r="T217" s="126" t="str">
        <f t="shared" si="30"/>
        <v/>
      </c>
      <c r="U217" s="100"/>
      <c r="Z217" s="102"/>
    </row>
    <row r="218" spans="2:26" s="4" customFormat="1" ht="15.75" x14ac:dyDescent="0.25">
      <c r="B218" s="95">
        <f t="shared" si="28"/>
        <v>214</v>
      </c>
      <c r="C218" s="95"/>
      <c r="D218" s="95"/>
      <c r="E218" s="96"/>
      <c r="F218" s="96"/>
      <c r="G218" s="95"/>
      <c r="H218" s="115"/>
      <c r="I218" s="112"/>
      <c r="J218" s="112"/>
      <c r="K218" s="113" t="str">
        <f t="shared" si="25"/>
        <v/>
      </c>
      <c r="L218" s="112"/>
      <c r="M218" s="113" t="str">
        <f t="shared" si="26"/>
        <v/>
      </c>
      <c r="N218" s="112"/>
      <c r="O218" s="112">
        <v>0</v>
      </c>
      <c r="P218" s="116">
        <v>0</v>
      </c>
      <c r="Q218" s="126" t="str">
        <f t="shared" si="27"/>
        <v/>
      </c>
      <c r="R218" s="114">
        <f t="shared" si="29"/>
        <v>0</v>
      </c>
      <c r="S218" s="126" t="str">
        <f t="shared" si="24"/>
        <v/>
      </c>
      <c r="T218" s="126" t="str">
        <f t="shared" si="30"/>
        <v/>
      </c>
      <c r="U218" s="100"/>
    </row>
    <row r="219" spans="2:26" s="4" customFormat="1" ht="15.75" x14ac:dyDescent="0.25">
      <c r="B219" s="95">
        <f t="shared" si="28"/>
        <v>215</v>
      </c>
      <c r="C219" s="95"/>
      <c r="D219" s="95"/>
      <c r="E219" s="96"/>
      <c r="F219" s="96"/>
      <c r="G219" s="95"/>
      <c r="H219" s="115"/>
      <c r="I219" s="112"/>
      <c r="J219" s="112"/>
      <c r="K219" s="113" t="str">
        <f t="shared" si="25"/>
        <v/>
      </c>
      <c r="L219" s="112"/>
      <c r="M219" s="113" t="str">
        <f t="shared" si="26"/>
        <v/>
      </c>
      <c r="N219" s="112"/>
      <c r="O219" s="112">
        <v>0</v>
      </c>
      <c r="P219" s="116">
        <v>0</v>
      </c>
      <c r="Q219" s="126" t="str">
        <f t="shared" si="27"/>
        <v/>
      </c>
      <c r="R219" s="114">
        <f t="shared" si="29"/>
        <v>0</v>
      </c>
      <c r="S219" s="126" t="str">
        <f t="shared" si="24"/>
        <v/>
      </c>
      <c r="T219" s="126" t="str">
        <f t="shared" si="30"/>
        <v/>
      </c>
      <c r="U219" s="100"/>
    </row>
    <row r="220" spans="2:26" s="4" customFormat="1" ht="15.75" x14ac:dyDescent="0.25">
      <c r="B220" s="95">
        <f t="shared" si="28"/>
        <v>216</v>
      </c>
      <c r="C220" s="95"/>
      <c r="D220" s="95"/>
      <c r="E220" s="96"/>
      <c r="F220" s="96"/>
      <c r="G220" s="95"/>
      <c r="H220" s="115"/>
      <c r="I220" s="112"/>
      <c r="J220" s="112"/>
      <c r="K220" s="113" t="str">
        <f t="shared" si="25"/>
        <v/>
      </c>
      <c r="L220" s="112"/>
      <c r="M220" s="113" t="str">
        <f t="shared" si="26"/>
        <v/>
      </c>
      <c r="N220" s="112"/>
      <c r="O220" s="112">
        <v>0</v>
      </c>
      <c r="P220" s="116">
        <v>0</v>
      </c>
      <c r="Q220" s="126" t="str">
        <f t="shared" si="27"/>
        <v/>
      </c>
      <c r="R220" s="114">
        <f t="shared" si="29"/>
        <v>0</v>
      </c>
      <c r="S220" s="126" t="str">
        <f t="shared" si="24"/>
        <v/>
      </c>
      <c r="T220" s="126" t="str">
        <f t="shared" si="30"/>
        <v/>
      </c>
      <c r="U220" s="100"/>
    </row>
    <row r="221" spans="2:26" s="4" customFormat="1" ht="15.75" x14ac:dyDescent="0.25">
      <c r="B221" s="95">
        <f t="shared" si="28"/>
        <v>217</v>
      </c>
      <c r="C221" s="95"/>
      <c r="D221" s="95"/>
      <c r="E221" s="96"/>
      <c r="F221" s="96"/>
      <c r="G221" s="95"/>
      <c r="H221" s="115"/>
      <c r="I221" s="112"/>
      <c r="J221" s="112"/>
      <c r="K221" s="113" t="str">
        <f t="shared" si="25"/>
        <v/>
      </c>
      <c r="L221" s="112"/>
      <c r="M221" s="113" t="str">
        <f t="shared" si="26"/>
        <v/>
      </c>
      <c r="N221" s="112"/>
      <c r="O221" s="112">
        <v>0</v>
      </c>
      <c r="P221" s="116">
        <v>0</v>
      </c>
      <c r="Q221" s="126" t="str">
        <f t="shared" si="27"/>
        <v/>
      </c>
      <c r="R221" s="114">
        <f t="shared" si="29"/>
        <v>0</v>
      </c>
      <c r="S221" s="126" t="str">
        <f t="shared" si="24"/>
        <v/>
      </c>
      <c r="T221" s="126" t="str">
        <f t="shared" si="30"/>
        <v/>
      </c>
      <c r="U221" s="100"/>
    </row>
    <row r="222" spans="2:26" s="4" customFormat="1" ht="15.75" x14ac:dyDescent="0.25">
      <c r="B222" s="95">
        <f t="shared" si="28"/>
        <v>218</v>
      </c>
      <c r="C222" s="95"/>
      <c r="D222" s="95"/>
      <c r="E222" s="96"/>
      <c r="F222" s="96"/>
      <c r="G222" s="95"/>
      <c r="H222" s="115"/>
      <c r="I222" s="112"/>
      <c r="J222" s="112"/>
      <c r="K222" s="113" t="str">
        <f t="shared" si="25"/>
        <v/>
      </c>
      <c r="L222" s="112"/>
      <c r="M222" s="113" t="str">
        <f t="shared" si="26"/>
        <v/>
      </c>
      <c r="N222" s="112"/>
      <c r="O222" s="112">
        <v>0</v>
      </c>
      <c r="P222" s="116">
        <v>0</v>
      </c>
      <c r="Q222" s="126" t="str">
        <f t="shared" si="27"/>
        <v/>
      </c>
      <c r="R222" s="114">
        <f t="shared" si="29"/>
        <v>0</v>
      </c>
      <c r="S222" s="126" t="str">
        <f t="shared" si="24"/>
        <v/>
      </c>
      <c r="T222" s="126" t="str">
        <f t="shared" si="30"/>
        <v/>
      </c>
      <c r="U222" s="100"/>
    </row>
    <row r="223" spans="2:26" s="4" customFormat="1" ht="15.75" x14ac:dyDescent="0.25">
      <c r="B223" s="95">
        <f t="shared" si="28"/>
        <v>219</v>
      </c>
      <c r="C223" s="95"/>
      <c r="D223" s="95"/>
      <c r="E223" s="96"/>
      <c r="F223" s="96"/>
      <c r="G223" s="95"/>
      <c r="H223" s="115"/>
      <c r="I223" s="112"/>
      <c r="J223" s="112"/>
      <c r="K223" s="113" t="str">
        <f t="shared" si="25"/>
        <v/>
      </c>
      <c r="L223" s="112"/>
      <c r="M223" s="113" t="str">
        <f t="shared" si="26"/>
        <v/>
      </c>
      <c r="N223" s="112"/>
      <c r="O223" s="112">
        <v>0</v>
      </c>
      <c r="P223" s="116">
        <v>0</v>
      </c>
      <c r="Q223" s="126" t="str">
        <f t="shared" si="27"/>
        <v/>
      </c>
      <c r="R223" s="114">
        <f t="shared" si="29"/>
        <v>0</v>
      </c>
      <c r="S223" s="126" t="str">
        <f t="shared" si="24"/>
        <v/>
      </c>
      <c r="T223" s="126" t="str">
        <f t="shared" si="30"/>
        <v/>
      </c>
      <c r="U223" s="100"/>
    </row>
    <row r="224" spans="2:26" s="4" customFormat="1" ht="15.75" x14ac:dyDescent="0.25">
      <c r="B224" s="95">
        <f t="shared" si="28"/>
        <v>220</v>
      </c>
      <c r="C224" s="95"/>
      <c r="D224" s="95"/>
      <c r="E224" s="96"/>
      <c r="F224" s="96"/>
      <c r="G224" s="95"/>
      <c r="H224" s="115"/>
      <c r="I224" s="112"/>
      <c r="J224" s="112"/>
      <c r="K224" s="113" t="str">
        <f t="shared" si="25"/>
        <v/>
      </c>
      <c r="L224" s="112"/>
      <c r="M224" s="113" t="str">
        <f t="shared" si="26"/>
        <v/>
      </c>
      <c r="N224" s="112"/>
      <c r="O224" s="112">
        <v>0</v>
      </c>
      <c r="P224" s="116">
        <v>0</v>
      </c>
      <c r="Q224" s="126" t="str">
        <f t="shared" si="27"/>
        <v/>
      </c>
      <c r="R224" s="114">
        <f t="shared" si="29"/>
        <v>0</v>
      </c>
      <c r="S224" s="126" t="str">
        <f t="shared" si="24"/>
        <v/>
      </c>
      <c r="T224" s="126" t="str">
        <f t="shared" si="30"/>
        <v/>
      </c>
      <c r="U224" s="100"/>
    </row>
    <row r="225" spans="2:21" s="4" customFormat="1" ht="15.75" x14ac:dyDescent="0.25">
      <c r="B225" s="95">
        <f t="shared" si="28"/>
        <v>221</v>
      </c>
      <c r="C225" s="95"/>
      <c r="D225" s="95"/>
      <c r="E225" s="96"/>
      <c r="F225" s="96"/>
      <c r="G225" s="95"/>
      <c r="H225" s="115"/>
      <c r="I225" s="112"/>
      <c r="J225" s="112"/>
      <c r="K225" s="113" t="str">
        <f t="shared" si="25"/>
        <v/>
      </c>
      <c r="L225" s="112"/>
      <c r="M225" s="113" t="str">
        <f t="shared" si="26"/>
        <v/>
      </c>
      <c r="N225" s="112"/>
      <c r="O225" s="112">
        <v>0</v>
      </c>
      <c r="P225" s="116">
        <v>0</v>
      </c>
      <c r="Q225" s="126" t="str">
        <f t="shared" si="27"/>
        <v/>
      </c>
      <c r="R225" s="114">
        <f t="shared" si="29"/>
        <v>0</v>
      </c>
      <c r="S225" s="126" t="str">
        <f t="shared" si="24"/>
        <v/>
      </c>
      <c r="T225" s="126" t="str">
        <f t="shared" si="30"/>
        <v/>
      </c>
      <c r="U225" s="100"/>
    </row>
    <row r="226" spans="2:21" s="4" customFormat="1" ht="15.75" x14ac:dyDescent="0.25">
      <c r="B226" s="95">
        <f t="shared" si="28"/>
        <v>222</v>
      </c>
      <c r="C226" s="95"/>
      <c r="D226" s="95"/>
      <c r="E226" s="96"/>
      <c r="F226" s="96"/>
      <c r="G226" s="95"/>
      <c r="H226" s="115"/>
      <c r="I226" s="112"/>
      <c r="J226" s="112"/>
      <c r="K226" s="113" t="str">
        <f t="shared" si="25"/>
        <v/>
      </c>
      <c r="L226" s="112"/>
      <c r="M226" s="113" t="str">
        <f t="shared" si="26"/>
        <v/>
      </c>
      <c r="N226" s="112"/>
      <c r="O226" s="112">
        <v>0</v>
      </c>
      <c r="P226" s="116">
        <v>0</v>
      </c>
      <c r="Q226" s="126" t="str">
        <f t="shared" si="27"/>
        <v/>
      </c>
      <c r="R226" s="114">
        <f t="shared" si="29"/>
        <v>0</v>
      </c>
      <c r="S226" s="126" t="str">
        <f t="shared" si="24"/>
        <v/>
      </c>
      <c r="T226" s="126" t="str">
        <f t="shared" si="30"/>
        <v/>
      </c>
      <c r="U226" s="100"/>
    </row>
    <row r="227" spans="2:21" s="4" customFormat="1" ht="15.75" x14ac:dyDescent="0.25">
      <c r="B227" s="95">
        <f t="shared" si="28"/>
        <v>223</v>
      </c>
      <c r="C227" s="95"/>
      <c r="D227" s="95"/>
      <c r="E227" s="96"/>
      <c r="F227" s="96"/>
      <c r="G227" s="95"/>
      <c r="H227" s="115"/>
      <c r="I227" s="112"/>
      <c r="J227" s="112"/>
      <c r="K227" s="113" t="str">
        <f t="shared" si="25"/>
        <v/>
      </c>
      <c r="L227" s="112"/>
      <c r="M227" s="113" t="str">
        <f t="shared" si="26"/>
        <v/>
      </c>
      <c r="N227" s="112"/>
      <c r="O227" s="112">
        <v>0</v>
      </c>
      <c r="P227" s="116">
        <v>0</v>
      </c>
      <c r="Q227" s="126" t="str">
        <f t="shared" si="27"/>
        <v/>
      </c>
      <c r="R227" s="114">
        <f t="shared" si="29"/>
        <v>0</v>
      </c>
      <c r="S227" s="126" t="str">
        <f t="shared" si="24"/>
        <v/>
      </c>
      <c r="T227" s="126" t="str">
        <f t="shared" si="30"/>
        <v/>
      </c>
      <c r="U227" s="100"/>
    </row>
    <row r="228" spans="2:21" s="4" customFormat="1" ht="15.75" x14ac:dyDescent="0.25">
      <c r="B228" s="95">
        <f t="shared" si="28"/>
        <v>224</v>
      </c>
      <c r="C228" s="95"/>
      <c r="D228" s="95"/>
      <c r="E228" s="96"/>
      <c r="F228" s="96"/>
      <c r="G228" s="95"/>
      <c r="H228" s="115"/>
      <c r="I228" s="112"/>
      <c r="J228" s="112"/>
      <c r="K228" s="113" t="str">
        <f t="shared" si="25"/>
        <v/>
      </c>
      <c r="L228" s="112"/>
      <c r="M228" s="113" t="str">
        <f t="shared" si="26"/>
        <v/>
      </c>
      <c r="N228" s="112"/>
      <c r="O228" s="112">
        <v>0</v>
      </c>
      <c r="P228" s="116">
        <v>0</v>
      </c>
      <c r="Q228" s="126" t="str">
        <f t="shared" si="27"/>
        <v/>
      </c>
      <c r="R228" s="114">
        <f t="shared" si="29"/>
        <v>0</v>
      </c>
      <c r="S228" s="126" t="str">
        <f t="shared" si="24"/>
        <v/>
      </c>
      <c r="T228" s="126" t="str">
        <f t="shared" si="30"/>
        <v/>
      </c>
      <c r="U228" s="100"/>
    </row>
    <row r="229" spans="2:21" s="4" customFormat="1" ht="15.75" x14ac:dyDescent="0.25">
      <c r="B229" s="95">
        <f t="shared" si="28"/>
        <v>225</v>
      </c>
      <c r="C229" s="95"/>
      <c r="D229" s="95"/>
      <c r="E229" s="96"/>
      <c r="F229" s="96"/>
      <c r="G229" s="95"/>
      <c r="H229" s="115"/>
      <c r="I229" s="112"/>
      <c r="J229" s="112"/>
      <c r="K229" s="113" t="str">
        <f t="shared" si="25"/>
        <v/>
      </c>
      <c r="L229" s="112"/>
      <c r="M229" s="113" t="str">
        <f t="shared" si="26"/>
        <v/>
      </c>
      <c r="N229" s="112"/>
      <c r="O229" s="112">
        <v>0</v>
      </c>
      <c r="P229" s="116">
        <v>0</v>
      </c>
      <c r="Q229" s="126" t="str">
        <f t="shared" si="27"/>
        <v/>
      </c>
      <c r="R229" s="114">
        <f t="shared" si="29"/>
        <v>0</v>
      </c>
      <c r="S229" s="126" t="str">
        <f t="shared" si="24"/>
        <v/>
      </c>
      <c r="T229" s="126" t="str">
        <f t="shared" si="30"/>
        <v/>
      </c>
      <c r="U229" s="100"/>
    </row>
    <row r="230" spans="2:21" s="4" customFormat="1" ht="15.75" x14ac:dyDescent="0.25">
      <c r="B230" s="95">
        <f t="shared" si="28"/>
        <v>226</v>
      </c>
      <c r="C230" s="95"/>
      <c r="D230" s="95"/>
      <c r="E230" s="96"/>
      <c r="F230" s="96"/>
      <c r="G230" s="95"/>
      <c r="H230" s="115"/>
      <c r="I230" s="112"/>
      <c r="J230" s="112"/>
      <c r="K230" s="113" t="str">
        <f t="shared" si="25"/>
        <v/>
      </c>
      <c r="L230" s="112"/>
      <c r="M230" s="113" t="str">
        <f t="shared" si="26"/>
        <v/>
      </c>
      <c r="N230" s="112"/>
      <c r="O230" s="112">
        <v>0</v>
      </c>
      <c r="P230" s="116">
        <v>0</v>
      </c>
      <c r="Q230" s="126" t="str">
        <f t="shared" si="27"/>
        <v/>
      </c>
      <c r="R230" s="114">
        <f t="shared" si="29"/>
        <v>0</v>
      </c>
      <c r="S230" s="126" t="str">
        <f t="shared" si="24"/>
        <v/>
      </c>
      <c r="T230" s="126" t="str">
        <f t="shared" si="30"/>
        <v/>
      </c>
      <c r="U230" s="100"/>
    </row>
    <row r="231" spans="2:21" s="4" customFormat="1" ht="15.75" x14ac:dyDescent="0.25">
      <c r="B231" s="95">
        <f t="shared" si="28"/>
        <v>227</v>
      </c>
      <c r="C231" s="95"/>
      <c r="D231" s="95"/>
      <c r="E231" s="96"/>
      <c r="F231" s="96"/>
      <c r="G231" s="95"/>
      <c r="H231" s="115"/>
      <c r="I231" s="112"/>
      <c r="J231" s="112"/>
      <c r="K231" s="113" t="str">
        <f t="shared" si="25"/>
        <v/>
      </c>
      <c r="L231" s="112"/>
      <c r="M231" s="113" t="str">
        <f t="shared" si="26"/>
        <v/>
      </c>
      <c r="N231" s="112"/>
      <c r="O231" s="112">
        <v>0</v>
      </c>
      <c r="P231" s="116">
        <v>0</v>
      </c>
      <c r="Q231" s="126" t="str">
        <f t="shared" si="27"/>
        <v/>
      </c>
      <c r="R231" s="114">
        <f t="shared" si="29"/>
        <v>0</v>
      </c>
      <c r="S231" s="126" t="str">
        <f t="shared" si="24"/>
        <v/>
      </c>
      <c r="T231" s="126" t="str">
        <f t="shared" si="30"/>
        <v/>
      </c>
      <c r="U231" s="100"/>
    </row>
    <row r="232" spans="2:21" s="4" customFormat="1" ht="15.75" x14ac:dyDescent="0.25">
      <c r="B232" s="95">
        <f t="shared" si="28"/>
        <v>228</v>
      </c>
      <c r="C232" s="95"/>
      <c r="D232" s="95"/>
      <c r="E232" s="96"/>
      <c r="F232" s="96"/>
      <c r="G232" s="95"/>
      <c r="H232" s="115"/>
      <c r="I232" s="112"/>
      <c r="J232" s="112"/>
      <c r="K232" s="113" t="str">
        <f t="shared" si="25"/>
        <v/>
      </c>
      <c r="L232" s="112"/>
      <c r="M232" s="113" t="str">
        <f t="shared" si="26"/>
        <v/>
      </c>
      <c r="N232" s="112"/>
      <c r="O232" s="112">
        <v>0</v>
      </c>
      <c r="P232" s="116">
        <v>0</v>
      </c>
      <c r="Q232" s="126" t="str">
        <f t="shared" si="27"/>
        <v/>
      </c>
      <c r="R232" s="114">
        <f t="shared" si="29"/>
        <v>0</v>
      </c>
      <c r="S232" s="126" t="str">
        <f t="shared" si="24"/>
        <v/>
      </c>
      <c r="T232" s="126" t="str">
        <f t="shared" si="30"/>
        <v/>
      </c>
      <c r="U232" s="100"/>
    </row>
    <row r="233" spans="2:21" s="4" customFormat="1" ht="15.75" x14ac:dyDescent="0.25">
      <c r="B233" s="95">
        <f t="shared" si="28"/>
        <v>229</v>
      </c>
      <c r="C233" s="95"/>
      <c r="D233" s="95"/>
      <c r="E233" s="96"/>
      <c r="F233" s="96"/>
      <c r="G233" s="95"/>
      <c r="H233" s="115"/>
      <c r="I233" s="112"/>
      <c r="J233" s="112"/>
      <c r="K233" s="113" t="str">
        <f t="shared" si="25"/>
        <v/>
      </c>
      <c r="L233" s="112"/>
      <c r="M233" s="113" t="str">
        <f t="shared" si="26"/>
        <v/>
      </c>
      <c r="N233" s="112"/>
      <c r="O233" s="112">
        <v>0</v>
      </c>
      <c r="P233" s="116">
        <v>0</v>
      </c>
      <c r="Q233" s="126" t="str">
        <f t="shared" si="27"/>
        <v/>
      </c>
      <c r="R233" s="114">
        <f t="shared" si="29"/>
        <v>0</v>
      </c>
      <c r="S233" s="126" t="str">
        <f t="shared" si="24"/>
        <v/>
      </c>
      <c r="T233" s="126" t="str">
        <f t="shared" si="30"/>
        <v/>
      </c>
      <c r="U233" s="100"/>
    </row>
    <row r="234" spans="2:21" s="4" customFormat="1" ht="15.75" x14ac:dyDescent="0.25">
      <c r="B234" s="95">
        <f t="shared" si="28"/>
        <v>230</v>
      </c>
      <c r="C234" s="95"/>
      <c r="D234" s="95"/>
      <c r="E234" s="96"/>
      <c r="F234" s="96"/>
      <c r="G234" s="95"/>
      <c r="H234" s="115"/>
      <c r="I234" s="112"/>
      <c r="J234" s="112"/>
      <c r="K234" s="113" t="str">
        <f t="shared" si="25"/>
        <v/>
      </c>
      <c r="L234" s="112"/>
      <c r="M234" s="113" t="str">
        <f t="shared" si="26"/>
        <v/>
      </c>
      <c r="N234" s="112"/>
      <c r="O234" s="112">
        <v>0</v>
      </c>
      <c r="P234" s="116">
        <v>0</v>
      </c>
      <c r="Q234" s="126" t="str">
        <f t="shared" si="27"/>
        <v/>
      </c>
      <c r="R234" s="114">
        <f t="shared" si="29"/>
        <v>0</v>
      </c>
      <c r="S234" s="126" t="str">
        <f t="shared" si="24"/>
        <v/>
      </c>
      <c r="T234" s="126" t="str">
        <f t="shared" si="30"/>
        <v/>
      </c>
      <c r="U234" s="100"/>
    </row>
    <row r="235" spans="2:21" s="4" customFormat="1" ht="15.75" x14ac:dyDescent="0.25">
      <c r="B235" s="95">
        <f t="shared" si="28"/>
        <v>231</v>
      </c>
      <c r="C235" s="95"/>
      <c r="D235" s="95"/>
      <c r="E235" s="96"/>
      <c r="F235" s="96"/>
      <c r="G235" s="95"/>
      <c r="H235" s="115"/>
      <c r="I235" s="112"/>
      <c r="J235" s="112"/>
      <c r="K235" s="113" t="str">
        <f t="shared" si="25"/>
        <v/>
      </c>
      <c r="L235" s="112"/>
      <c r="M235" s="113" t="str">
        <f t="shared" si="26"/>
        <v/>
      </c>
      <c r="N235" s="112"/>
      <c r="O235" s="112">
        <v>0</v>
      </c>
      <c r="P235" s="116">
        <v>0</v>
      </c>
      <c r="Q235" s="126" t="str">
        <f t="shared" si="27"/>
        <v/>
      </c>
      <c r="R235" s="114">
        <f t="shared" si="29"/>
        <v>0</v>
      </c>
      <c r="S235" s="126" t="str">
        <f t="shared" si="24"/>
        <v/>
      </c>
      <c r="T235" s="126" t="str">
        <f t="shared" si="30"/>
        <v/>
      </c>
      <c r="U235" s="100"/>
    </row>
    <row r="236" spans="2:21" s="4" customFormat="1" ht="15.75" x14ac:dyDescent="0.25">
      <c r="B236" s="95">
        <f t="shared" si="28"/>
        <v>232</v>
      </c>
      <c r="C236" s="95"/>
      <c r="D236" s="95"/>
      <c r="E236" s="96"/>
      <c r="F236" s="96"/>
      <c r="G236" s="95"/>
      <c r="H236" s="115"/>
      <c r="I236" s="112"/>
      <c r="J236" s="112"/>
      <c r="K236" s="113" t="str">
        <f t="shared" si="25"/>
        <v/>
      </c>
      <c r="L236" s="112"/>
      <c r="M236" s="113" t="str">
        <f t="shared" si="26"/>
        <v/>
      </c>
      <c r="N236" s="112"/>
      <c r="O236" s="112">
        <v>0</v>
      </c>
      <c r="P236" s="116">
        <v>0</v>
      </c>
      <c r="Q236" s="126" t="str">
        <f t="shared" si="27"/>
        <v/>
      </c>
      <c r="R236" s="114">
        <f t="shared" si="29"/>
        <v>0</v>
      </c>
      <c r="S236" s="126" t="str">
        <f t="shared" si="24"/>
        <v/>
      </c>
      <c r="T236" s="126" t="str">
        <f t="shared" si="30"/>
        <v/>
      </c>
      <c r="U236" s="100"/>
    </row>
    <row r="237" spans="2:21" s="4" customFormat="1" ht="15.75" x14ac:dyDescent="0.25">
      <c r="B237" s="95">
        <f t="shared" si="28"/>
        <v>233</v>
      </c>
      <c r="C237" s="95"/>
      <c r="D237" s="95"/>
      <c r="E237" s="96"/>
      <c r="F237" s="96"/>
      <c r="G237" s="95"/>
      <c r="H237" s="115"/>
      <c r="I237" s="112"/>
      <c r="J237" s="112"/>
      <c r="K237" s="113" t="str">
        <f t="shared" si="25"/>
        <v/>
      </c>
      <c r="L237" s="112"/>
      <c r="M237" s="113" t="str">
        <f t="shared" si="26"/>
        <v/>
      </c>
      <c r="N237" s="112"/>
      <c r="O237" s="112">
        <v>0</v>
      </c>
      <c r="P237" s="116">
        <v>0</v>
      </c>
      <c r="Q237" s="126" t="str">
        <f t="shared" si="27"/>
        <v/>
      </c>
      <c r="R237" s="114">
        <f t="shared" si="29"/>
        <v>0</v>
      </c>
      <c r="S237" s="126" t="str">
        <f t="shared" si="24"/>
        <v/>
      </c>
      <c r="T237" s="126" t="str">
        <f t="shared" si="30"/>
        <v/>
      </c>
      <c r="U237" s="100"/>
    </row>
    <row r="238" spans="2:21" s="4" customFormat="1" ht="15.75" x14ac:dyDescent="0.25">
      <c r="B238" s="95">
        <f t="shared" si="28"/>
        <v>234</v>
      </c>
      <c r="C238" s="95"/>
      <c r="D238" s="95"/>
      <c r="E238" s="96"/>
      <c r="F238" s="96"/>
      <c r="G238" s="95"/>
      <c r="H238" s="115"/>
      <c r="I238" s="112"/>
      <c r="J238" s="112"/>
      <c r="K238" s="113" t="str">
        <f t="shared" si="25"/>
        <v/>
      </c>
      <c r="L238" s="112"/>
      <c r="M238" s="113" t="str">
        <f t="shared" si="26"/>
        <v/>
      </c>
      <c r="N238" s="112"/>
      <c r="O238" s="112">
        <v>0</v>
      </c>
      <c r="P238" s="116">
        <v>0</v>
      </c>
      <c r="Q238" s="126" t="str">
        <f t="shared" si="27"/>
        <v/>
      </c>
      <c r="R238" s="114">
        <f t="shared" si="29"/>
        <v>0</v>
      </c>
      <c r="S238" s="126" t="str">
        <f t="shared" si="24"/>
        <v/>
      </c>
      <c r="T238" s="126" t="str">
        <f t="shared" si="30"/>
        <v/>
      </c>
      <c r="U238" s="100"/>
    </row>
    <row r="239" spans="2:21" s="4" customFormat="1" ht="15.75" x14ac:dyDescent="0.25">
      <c r="B239" s="95">
        <f t="shared" si="28"/>
        <v>235</v>
      </c>
      <c r="C239" s="95"/>
      <c r="D239" s="95"/>
      <c r="E239" s="96"/>
      <c r="F239" s="96"/>
      <c r="G239" s="95"/>
      <c r="H239" s="115"/>
      <c r="I239" s="112"/>
      <c r="J239" s="112"/>
      <c r="K239" s="113" t="str">
        <f t="shared" si="25"/>
        <v/>
      </c>
      <c r="L239" s="112"/>
      <c r="M239" s="113" t="str">
        <f t="shared" si="26"/>
        <v/>
      </c>
      <c r="N239" s="112"/>
      <c r="O239" s="112">
        <v>0</v>
      </c>
      <c r="P239" s="116">
        <v>0</v>
      </c>
      <c r="Q239" s="126" t="str">
        <f t="shared" si="27"/>
        <v/>
      </c>
      <c r="R239" s="114">
        <f t="shared" si="29"/>
        <v>0</v>
      </c>
      <c r="S239" s="126" t="str">
        <f t="shared" si="24"/>
        <v/>
      </c>
      <c r="T239" s="126" t="str">
        <f t="shared" si="30"/>
        <v/>
      </c>
      <c r="U239" s="100"/>
    </row>
    <row r="240" spans="2:21" s="4" customFormat="1" ht="15.75" x14ac:dyDescent="0.25">
      <c r="B240" s="95">
        <f t="shared" si="28"/>
        <v>236</v>
      </c>
      <c r="C240" s="95"/>
      <c r="D240" s="95"/>
      <c r="E240" s="96"/>
      <c r="F240" s="96"/>
      <c r="G240" s="95"/>
      <c r="H240" s="115"/>
      <c r="I240" s="112"/>
      <c r="J240" s="112"/>
      <c r="K240" s="113" t="str">
        <f t="shared" si="25"/>
        <v/>
      </c>
      <c r="L240" s="112"/>
      <c r="M240" s="113" t="str">
        <f t="shared" si="26"/>
        <v/>
      </c>
      <c r="N240" s="112"/>
      <c r="O240" s="112">
        <v>0</v>
      </c>
      <c r="P240" s="116">
        <v>0</v>
      </c>
      <c r="Q240" s="126" t="str">
        <f t="shared" si="27"/>
        <v/>
      </c>
      <c r="R240" s="114">
        <f t="shared" si="29"/>
        <v>0</v>
      </c>
      <c r="S240" s="126" t="str">
        <f t="shared" si="24"/>
        <v/>
      </c>
      <c r="T240" s="126" t="str">
        <f t="shared" si="30"/>
        <v/>
      </c>
      <c r="U240" s="100"/>
    </row>
    <row r="241" spans="2:21" s="4" customFormat="1" ht="15.75" x14ac:dyDescent="0.25">
      <c r="B241" s="95">
        <f t="shared" si="28"/>
        <v>237</v>
      </c>
      <c r="C241" s="95"/>
      <c r="D241" s="95"/>
      <c r="E241" s="96"/>
      <c r="F241" s="96"/>
      <c r="G241" s="95"/>
      <c r="H241" s="115"/>
      <c r="I241" s="112"/>
      <c r="J241" s="112"/>
      <c r="K241" s="113" t="str">
        <f t="shared" si="25"/>
        <v/>
      </c>
      <c r="L241" s="112"/>
      <c r="M241" s="113" t="str">
        <f t="shared" si="26"/>
        <v/>
      </c>
      <c r="N241" s="112"/>
      <c r="O241" s="112">
        <v>0</v>
      </c>
      <c r="P241" s="116">
        <v>0</v>
      </c>
      <c r="Q241" s="126" t="str">
        <f t="shared" si="27"/>
        <v/>
      </c>
      <c r="R241" s="114">
        <f t="shared" si="29"/>
        <v>0</v>
      </c>
      <c r="S241" s="126" t="str">
        <f t="shared" si="24"/>
        <v/>
      </c>
      <c r="T241" s="126" t="str">
        <f t="shared" si="30"/>
        <v/>
      </c>
      <c r="U241" s="100"/>
    </row>
    <row r="242" spans="2:21" s="4" customFormat="1" ht="15.75" x14ac:dyDescent="0.25">
      <c r="B242" s="95">
        <f t="shared" si="28"/>
        <v>238</v>
      </c>
      <c r="C242" s="95"/>
      <c r="D242" s="95"/>
      <c r="E242" s="96"/>
      <c r="F242" s="96"/>
      <c r="G242" s="95"/>
      <c r="H242" s="115"/>
      <c r="I242" s="112"/>
      <c r="J242" s="112"/>
      <c r="K242" s="113" t="str">
        <f t="shared" si="25"/>
        <v/>
      </c>
      <c r="L242" s="112"/>
      <c r="M242" s="113" t="str">
        <f t="shared" si="26"/>
        <v/>
      </c>
      <c r="N242" s="112"/>
      <c r="O242" s="112">
        <v>0</v>
      </c>
      <c r="P242" s="116">
        <v>0</v>
      </c>
      <c r="Q242" s="126" t="str">
        <f t="shared" si="27"/>
        <v/>
      </c>
      <c r="R242" s="114">
        <f t="shared" si="29"/>
        <v>0</v>
      </c>
      <c r="S242" s="126" t="str">
        <f t="shared" si="24"/>
        <v/>
      </c>
      <c r="T242" s="126" t="str">
        <f t="shared" si="30"/>
        <v/>
      </c>
      <c r="U242" s="100"/>
    </row>
    <row r="243" spans="2:21" s="4" customFormat="1" ht="15.75" x14ac:dyDescent="0.25">
      <c r="B243" s="95">
        <f t="shared" si="28"/>
        <v>239</v>
      </c>
      <c r="C243" s="95"/>
      <c r="D243" s="95"/>
      <c r="E243" s="96"/>
      <c r="F243" s="96"/>
      <c r="G243" s="95"/>
      <c r="H243" s="115"/>
      <c r="I243" s="112"/>
      <c r="J243" s="112"/>
      <c r="K243" s="113" t="str">
        <f t="shared" si="25"/>
        <v/>
      </c>
      <c r="L243" s="112"/>
      <c r="M243" s="113" t="str">
        <f t="shared" si="26"/>
        <v/>
      </c>
      <c r="N243" s="112"/>
      <c r="O243" s="112">
        <v>0</v>
      </c>
      <c r="P243" s="116">
        <v>0</v>
      </c>
      <c r="Q243" s="126" t="str">
        <f t="shared" si="27"/>
        <v/>
      </c>
      <c r="R243" s="114">
        <f t="shared" si="29"/>
        <v>0</v>
      </c>
      <c r="S243" s="126" t="str">
        <f t="shared" si="24"/>
        <v/>
      </c>
      <c r="T243" s="126" t="str">
        <f t="shared" si="30"/>
        <v/>
      </c>
      <c r="U243" s="100"/>
    </row>
    <row r="244" spans="2:21" s="4" customFormat="1" ht="15.75" x14ac:dyDescent="0.25">
      <c r="B244" s="95">
        <f t="shared" si="28"/>
        <v>240</v>
      </c>
      <c r="C244" s="95"/>
      <c r="D244" s="95"/>
      <c r="E244" s="96"/>
      <c r="F244" s="96"/>
      <c r="G244" s="95"/>
      <c r="H244" s="115"/>
      <c r="I244" s="112"/>
      <c r="J244" s="112"/>
      <c r="K244" s="113" t="str">
        <f t="shared" si="25"/>
        <v/>
      </c>
      <c r="L244" s="112"/>
      <c r="M244" s="113" t="str">
        <f t="shared" si="26"/>
        <v/>
      </c>
      <c r="N244" s="112"/>
      <c r="O244" s="112">
        <v>0</v>
      </c>
      <c r="P244" s="116">
        <v>0</v>
      </c>
      <c r="Q244" s="126" t="str">
        <f t="shared" si="27"/>
        <v/>
      </c>
      <c r="R244" s="114">
        <f t="shared" si="29"/>
        <v>0</v>
      </c>
      <c r="S244" s="126" t="str">
        <f t="shared" si="24"/>
        <v/>
      </c>
      <c r="T244" s="126" t="str">
        <f t="shared" si="30"/>
        <v/>
      </c>
      <c r="U244" s="100"/>
    </row>
    <row r="245" spans="2:21" s="4" customFormat="1" ht="15.75" x14ac:dyDescent="0.25">
      <c r="B245" s="95">
        <f t="shared" si="28"/>
        <v>241</v>
      </c>
      <c r="C245" s="95"/>
      <c r="D245" s="95"/>
      <c r="E245" s="96"/>
      <c r="F245" s="96"/>
      <c r="G245" s="95"/>
      <c r="H245" s="115"/>
      <c r="I245" s="112"/>
      <c r="J245" s="112"/>
      <c r="K245" s="113" t="str">
        <f t="shared" si="25"/>
        <v/>
      </c>
      <c r="L245" s="112"/>
      <c r="M245" s="113" t="str">
        <f t="shared" si="26"/>
        <v/>
      </c>
      <c r="N245" s="112"/>
      <c r="O245" s="112">
        <v>0</v>
      </c>
      <c r="P245" s="116">
        <v>0</v>
      </c>
      <c r="Q245" s="126" t="str">
        <f t="shared" si="27"/>
        <v/>
      </c>
      <c r="R245" s="114">
        <f t="shared" si="29"/>
        <v>0</v>
      </c>
      <c r="S245" s="126" t="str">
        <f t="shared" si="24"/>
        <v/>
      </c>
      <c r="T245" s="126" t="str">
        <f t="shared" si="30"/>
        <v/>
      </c>
      <c r="U245" s="100"/>
    </row>
    <row r="246" spans="2:21" s="4" customFormat="1" ht="15.75" x14ac:dyDescent="0.25">
      <c r="B246" s="95">
        <f t="shared" si="28"/>
        <v>242</v>
      </c>
      <c r="C246" s="95"/>
      <c r="D246" s="95"/>
      <c r="E246" s="96"/>
      <c r="F246" s="96"/>
      <c r="G246" s="95"/>
      <c r="H246" s="115"/>
      <c r="I246" s="112"/>
      <c r="J246" s="112"/>
      <c r="K246" s="113" t="str">
        <f t="shared" si="25"/>
        <v/>
      </c>
      <c r="L246" s="112"/>
      <c r="M246" s="113" t="str">
        <f t="shared" si="26"/>
        <v/>
      </c>
      <c r="N246" s="112"/>
      <c r="O246" s="112">
        <v>0</v>
      </c>
      <c r="P246" s="116">
        <v>0</v>
      </c>
      <c r="Q246" s="126" t="str">
        <f t="shared" si="27"/>
        <v/>
      </c>
      <c r="R246" s="114">
        <f t="shared" si="29"/>
        <v>0</v>
      </c>
      <c r="S246" s="126" t="str">
        <f t="shared" si="24"/>
        <v/>
      </c>
      <c r="T246" s="126" t="str">
        <f t="shared" si="30"/>
        <v/>
      </c>
      <c r="U246" s="100"/>
    </row>
    <row r="247" spans="2:21" s="4" customFormat="1" ht="15.75" x14ac:dyDescent="0.25">
      <c r="B247" s="95">
        <f t="shared" si="28"/>
        <v>243</v>
      </c>
      <c r="C247" s="95"/>
      <c r="D247" s="95"/>
      <c r="E247" s="96"/>
      <c r="F247" s="96"/>
      <c r="G247" s="95"/>
      <c r="H247" s="115"/>
      <c r="I247" s="112"/>
      <c r="J247" s="112"/>
      <c r="K247" s="113" t="str">
        <f t="shared" si="25"/>
        <v/>
      </c>
      <c r="L247" s="112"/>
      <c r="M247" s="113" t="str">
        <f t="shared" si="26"/>
        <v/>
      </c>
      <c r="N247" s="112"/>
      <c r="O247" s="112">
        <v>0</v>
      </c>
      <c r="P247" s="116">
        <v>0</v>
      </c>
      <c r="Q247" s="126" t="str">
        <f t="shared" si="27"/>
        <v/>
      </c>
      <c r="R247" s="114">
        <f t="shared" si="29"/>
        <v>0</v>
      </c>
      <c r="S247" s="126" t="str">
        <f t="shared" si="24"/>
        <v/>
      </c>
      <c r="T247" s="126" t="str">
        <f t="shared" si="30"/>
        <v/>
      </c>
      <c r="U247" s="100"/>
    </row>
    <row r="248" spans="2:21" s="4" customFormat="1" ht="15.75" x14ac:dyDescent="0.25">
      <c r="B248" s="95">
        <f t="shared" si="28"/>
        <v>244</v>
      </c>
      <c r="C248" s="95"/>
      <c r="D248" s="95"/>
      <c r="E248" s="96"/>
      <c r="F248" s="96"/>
      <c r="G248" s="95"/>
      <c r="H248" s="115"/>
      <c r="I248" s="112"/>
      <c r="J248" s="112"/>
      <c r="K248" s="113" t="str">
        <f t="shared" si="25"/>
        <v/>
      </c>
      <c r="L248" s="112"/>
      <c r="M248" s="113" t="str">
        <f t="shared" si="26"/>
        <v/>
      </c>
      <c r="N248" s="112"/>
      <c r="O248" s="112">
        <v>0</v>
      </c>
      <c r="P248" s="116">
        <v>0</v>
      </c>
      <c r="Q248" s="126" t="str">
        <f t="shared" si="27"/>
        <v/>
      </c>
      <c r="R248" s="114">
        <f t="shared" si="29"/>
        <v>0</v>
      </c>
      <c r="S248" s="126" t="str">
        <f t="shared" si="24"/>
        <v/>
      </c>
      <c r="T248" s="126" t="str">
        <f t="shared" si="30"/>
        <v/>
      </c>
      <c r="U248" s="100"/>
    </row>
    <row r="249" spans="2:21" s="4" customFormat="1" ht="15.75" x14ac:dyDescent="0.25">
      <c r="B249" s="95">
        <f t="shared" si="28"/>
        <v>245</v>
      </c>
      <c r="C249" s="95"/>
      <c r="D249" s="95"/>
      <c r="E249" s="96"/>
      <c r="F249" s="96"/>
      <c r="G249" s="95"/>
      <c r="H249" s="115"/>
      <c r="I249" s="112"/>
      <c r="J249" s="112"/>
      <c r="K249" s="113" t="str">
        <f t="shared" si="25"/>
        <v/>
      </c>
      <c r="L249" s="112"/>
      <c r="M249" s="113" t="str">
        <f t="shared" si="26"/>
        <v/>
      </c>
      <c r="N249" s="112"/>
      <c r="O249" s="112">
        <v>0</v>
      </c>
      <c r="P249" s="116">
        <v>0</v>
      </c>
      <c r="Q249" s="126" t="str">
        <f t="shared" si="27"/>
        <v/>
      </c>
      <c r="R249" s="114">
        <f t="shared" si="29"/>
        <v>0</v>
      </c>
      <c r="S249" s="126" t="str">
        <f t="shared" si="24"/>
        <v/>
      </c>
      <c r="T249" s="126" t="str">
        <f t="shared" si="30"/>
        <v/>
      </c>
      <c r="U249" s="100"/>
    </row>
    <row r="250" spans="2:21" s="4" customFormat="1" ht="15.75" x14ac:dyDescent="0.25">
      <c r="B250" s="95">
        <f t="shared" si="28"/>
        <v>246</v>
      </c>
      <c r="C250" s="95"/>
      <c r="D250" s="95"/>
      <c r="E250" s="96"/>
      <c r="F250" s="96"/>
      <c r="G250" s="95"/>
      <c r="H250" s="115"/>
      <c r="I250" s="112"/>
      <c r="J250" s="112"/>
      <c r="K250" s="113" t="str">
        <f t="shared" si="25"/>
        <v/>
      </c>
      <c r="L250" s="112"/>
      <c r="M250" s="113" t="str">
        <f t="shared" si="26"/>
        <v/>
      </c>
      <c r="N250" s="112"/>
      <c r="O250" s="112">
        <v>0</v>
      </c>
      <c r="P250" s="116">
        <v>0</v>
      </c>
      <c r="Q250" s="126" t="str">
        <f t="shared" si="27"/>
        <v/>
      </c>
      <c r="R250" s="114">
        <f t="shared" si="29"/>
        <v>0</v>
      </c>
      <c r="S250" s="126" t="str">
        <f t="shared" si="24"/>
        <v/>
      </c>
      <c r="T250" s="126" t="str">
        <f t="shared" si="30"/>
        <v/>
      </c>
      <c r="U250" s="100"/>
    </row>
    <row r="251" spans="2:21" s="4" customFormat="1" ht="15.75" x14ac:dyDescent="0.25">
      <c r="B251" s="95">
        <f t="shared" si="28"/>
        <v>247</v>
      </c>
      <c r="C251" s="95"/>
      <c r="D251" s="95"/>
      <c r="E251" s="96"/>
      <c r="F251" s="96"/>
      <c r="G251" s="95"/>
      <c r="H251" s="115"/>
      <c r="I251" s="112"/>
      <c r="J251" s="112"/>
      <c r="K251" s="113" t="str">
        <f t="shared" si="25"/>
        <v/>
      </c>
      <c r="L251" s="112"/>
      <c r="M251" s="113" t="str">
        <f t="shared" si="26"/>
        <v/>
      </c>
      <c r="N251" s="112"/>
      <c r="O251" s="112">
        <v>0</v>
      </c>
      <c r="P251" s="116">
        <v>0</v>
      </c>
      <c r="Q251" s="126" t="str">
        <f t="shared" si="27"/>
        <v/>
      </c>
      <c r="R251" s="114">
        <f t="shared" si="29"/>
        <v>0</v>
      </c>
      <c r="S251" s="126" t="str">
        <f t="shared" si="24"/>
        <v/>
      </c>
      <c r="T251" s="126" t="str">
        <f t="shared" si="30"/>
        <v/>
      </c>
      <c r="U251" s="100"/>
    </row>
    <row r="252" spans="2:21" s="4" customFormat="1" ht="15.75" x14ac:dyDescent="0.25">
      <c r="B252" s="95">
        <f t="shared" si="28"/>
        <v>248</v>
      </c>
      <c r="C252" s="95"/>
      <c r="D252" s="95"/>
      <c r="E252" s="96"/>
      <c r="F252" s="96"/>
      <c r="G252" s="95"/>
      <c r="H252" s="115"/>
      <c r="I252" s="112"/>
      <c r="J252" s="112"/>
      <c r="K252" s="113" t="str">
        <f t="shared" si="25"/>
        <v/>
      </c>
      <c r="L252" s="112"/>
      <c r="M252" s="113" t="str">
        <f t="shared" si="26"/>
        <v/>
      </c>
      <c r="N252" s="112"/>
      <c r="O252" s="112">
        <v>0</v>
      </c>
      <c r="P252" s="116">
        <v>0</v>
      </c>
      <c r="Q252" s="126" t="str">
        <f t="shared" si="27"/>
        <v/>
      </c>
      <c r="R252" s="114">
        <f t="shared" si="29"/>
        <v>0</v>
      </c>
      <c r="S252" s="126" t="str">
        <f t="shared" si="24"/>
        <v/>
      </c>
      <c r="T252" s="126" t="str">
        <f t="shared" si="30"/>
        <v/>
      </c>
      <c r="U252" s="100"/>
    </row>
    <row r="253" spans="2:21" s="4" customFormat="1" ht="15.75" x14ac:dyDescent="0.25">
      <c r="B253" s="95">
        <f t="shared" si="28"/>
        <v>249</v>
      </c>
      <c r="C253" s="95"/>
      <c r="D253" s="95"/>
      <c r="E253" s="96"/>
      <c r="F253" s="96"/>
      <c r="G253" s="95"/>
      <c r="H253" s="115"/>
      <c r="I253" s="112"/>
      <c r="J253" s="112"/>
      <c r="K253" s="113" t="str">
        <f t="shared" si="25"/>
        <v/>
      </c>
      <c r="L253" s="112"/>
      <c r="M253" s="113" t="str">
        <f t="shared" si="26"/>
        <v/>
      </c>
      <c r="N253" s="112"/>
      <c r="O253" s="112">
        <v>0</v>
      </c>
      <c r="P253" s="116">
        <v>0</v>
      </c>
      <c r="Q253" s="126" t="str">
        <f t="shared" si="27"/>
        <v/>
      </c>
      <c r="R253" s="114">
        <f t="shared" si="29"/>
        <v>0</v>
      </c>
      <c r="S253" s="126" t="str">
        <f t="shared" si="24"/>
        <v/>
      </c>
      <c r="T253" s="126" t="str">
        <f t="shared" si="30"/>
        <v/>
      </c>
      <c r="U253" s="100"/>
    </row>
    <row r="254" spans="2:21" s="4" customFormat="1" ht="15.75" x14ac:dyDescent="0.25">
      <c r="B254" s="95">
        <f t="shared" si="28"/>
        <v>250</v>
      </c>
      <c r="C254" s="95"/>
      <c r="D254" s="95"/>
      <c r="E254" s="96"/>
      <c r="F254" s="96"/>
      <c r="G254" s="95"/>
      <c r="H254" s="115"/>
      <c r="I254" s="112"/>
      <c r="J254" s="112"/>
      <c r="K254" s="113" t="str">
        <f t="shared" si="25"/>
        <v/>
      </c>
      <c r="L254" s="112"/>
      <c r="M254" s="113" t="str">
        <f t="shared" si="26"/>
        <v/>
      </c>
      <c r="N254" s="112"/>
      <c r="O254" s="112">
        <v>0</v>
      </c>
      <c r="P254" s="116">
        <v>0</v>
      </c>
      <c r="Q254" s="126" t="str">
        <f t="shared" si="27"/>
        <v/>
      </c>
      <c r="R254" s="114">
        <f t="shared" si="29"/>
        <v>0</v>
      </c>
      <c r="S254" s="126" t="str">
        <f t="shared" ref="S254:S317" si="31">IF(R254,R254/I254,"")</f>
        <v/>
      </c>
      <c r="T254" s="126" t="str">
        <f t="shared" si="30"/>
        <v/>
      </c>
      <c r="U254" s="100"/>
    </row>
    <row r="255" spans="2:21" s="4" customFormat="1" ht="15.75" x14ac:dyDescent="0.25">
      <c r="B255" s="95">
        <f t="shared" si="28"/>
        <v>251</v>
      </c>
      <c r="C255" s="95"/>
      <c r="D255" s="95"/>
      <c r="E255" s="96"/>
      <c r="F255" s="96"/>
      <c r="G255" s="95"/>
      <c r="H255" s="115"/>
      <c r="I255" s="112"/>
      <c r="J255" s="112"/>
      <c r="K255" s="113" t="str">
        <f t="shared" si="25"/>
        <v/>
      </c>
      <c r="L255" s="112"/>
      <c r="M255" s="113" t="str">
        <f t="shared" si="26"/>
        <v/>
      </c>
      <c r="N255" s="112"/>
      <c r="O255" s="112">
        <v>0</v>
      </c>
      <c r="P255" s="116">
        <v>0</v>
      </c>
      <c r="Q255" s="126" t="str">
        <f t="shared" si="27"/>
        <v/>
      </c>
      <c r="R255" s="114">
        <f t="shared" si="29"/>
        <v>0</v>
      </c>
      <c r="S255" s="126" t="str">
        <f t="shared" si="31"/>
        <v/>
      </c>
      <c r="T255" s="126" t="str">
        <f t="shared" si="30"/>
        <v/>
      </c>
      <c r="U255" s="100"/>
    </row>
    <row r="256" spans="2:21" s="4" customFormat="1" ht="15.75" x14ac:dyDescent="0.25">
      <c r="B256" s="95">
        <f t="shared" si="28"/>
        <v>252</v>
      </c>
      <c r="C256" s="95"/>
      <c r="D256" s="95"/>
      <c r="E256" s="96"/>
      <c r="F256" s="96"/>
      <c r="G256" s="95"/>
      <c r="H256" s="115"/>
      <c r="I256" s="112"/>
      <c r="J256" s="112"/>
      <c r="K256" s="113" t="str">
        <f t="shared" si="25"/>
        <v/>
      </c>
      <c r="L256" s="112"/>
      <c r="M256" s="113" t="str">
        <f t="shared" si="26"/>
        <v/>
      </c>
      <c r="N256" s="112"/>
      <c r="O256" s="112">
        <v>0</v>
      </c>
      <c r="P256" s="116">
        <v>0</v>
      </c>
      <c r="Q256" s="126" t="str">
        <f t="shared" si="27"/>
        <v/>
      </c>
      <c r="R256" s="114">
        <f t="shared" si="29"/>
        <v>0</v>
      </c>
      <c r="S256" s="126" t="str">
        <f t="shared" si="31"/>
        <v/>
      </c>
      <c r="T256" s="126" t="str">
        <f t="shared" si="30"/>
        <v/>
      </c>
      <c r="U256" s="100"/>
    </row>
    <row r="257" spans="2:21" s="4" customFormat="1" ht="15.75" x14ac:dyDescent="0.25">
      <c r="B257" s="95">
        <f t="shared" si="28"/>
        <v>253</v>
      </c>
      <c r="C257" s="95"/>
      <c r="D257" s="95"/>
      <c r="E257" s="96"/>
      <c r="F257" s="96"/>
      <c r="G257" s="95"/>
      <c r="H257" s="115"/>
      <c r="I257" s="112"/>
      <c r="J257" s="112"/>
      <c r="K257" s="113" t="str">
        <f t="shared" si="25"/>
        <v/>
      </c>
      <c r="L257" s="112"/>
      <c r="M257" s="113" t="str">
        <f t="shared" si="26"/>
        <v/>
      </c>
      <c r="N257" s="112"/>
      <c r="O257" s="112">
        <v>0</v>
      </c>
      <c r="P257" s="116">
        <v>0</v>
      </c>
      <c r="Q257" s="126" t="str">
        <f t="shared" si="27"/>
        <v/>
      </c>
      <c r="R257" s="114">
        <f t="shared" si="29"/>
        <v>0</v>
      </c>
      <c r="S257" s="126" t="str">
        <f t="shared" si="31"/>
        <v/>
      </c>
      <c r="T257" s="126" t="str">
        <f t="shared" si="30"/>
        <v/>
      </c>
      <c r="U257" s="100"/>
    </row>
    <row r="258" spans="2:21" s="4" customFormat="1" ht="15.75" x14ac:dyDescent="0.25">
      <c r="B258" s="95">
        <f t="shared" si="28"/>
        <v>254</v>
      </c>
      <c r="C258" s="95"/>
      <c r="D258" s="95"/>
      <c r="E258" s="96"/>
      <c r="F258" s="96"/>
      <c r="G258" s="95"/>
      <c r="H258" s="115"/>
      <c r="I258" s="112"/>
      <c r="J258" s="112"/>
      <c r="K258" s="113" t="str">
        <f t="shared" si="25"/>
        <v/>
      </c>
      <c r="L258" s="112"/>
      <c r="M258" s="113" t="str">
        <f t="shared" si="26"/>
        <v/>
      </c>
      <c r="N258" s="112"/>
      <c r="O258" s="112">
        <v>0</v>
      </c>
      <c r="P258" s="116">
        <v>0</v>
      </c>
      <c r="Q258" s="126" t="str">
        <f t="shared" si="27"/>
        <v/>
      </c>
      <c r="R258" s="114">
        <f t="shared" si="29"/>
        <v>0</v>
      </c>
      <c r="S258" s="126" t="str">
        <f t="shared" si="31"/>
        <v/>
      </c>
      <c r="T258" s="126" t="str">
        <f t="shared" si="30"/>
        <v/>
      </c>
      <c r="U258" s="100"/>
    </row>
    <row r="259" spans="2:21" s="4" customFormat="1" ht="15.75" x14ac:dyDescent="0.25">
      <c r="B259" s="95">
        <f t="shared" si="28"/>
        <v>255</v>
      </c>
      <c r="C259" s="95"/>
      <c r="D259" s="95"/>
      <c r="E259" s="96"/>
      <c r="F259" s="96"/>
      <c r="G259" s="95"/>
      <c r="H259" s="115"/>
      <c r="I259" s="112"/>
      <c r="J259" s="112"/>
      <c r="K259" s="113" t="str">
        <f t="shared" si="25"/>
        <v/>
      </c>
      <c r="L259" s="112"/>
      <c r="M259" s="113" t="str">
        <f t="shared" si="26"/>
        <v/>
      </c>
      <c r="N259" s="112"/>
      <c r="O259" s="112">
        <v>0</v>
      </c>
      <c r="P259" s="116">
        <v>0</v>
      </c>
      <c r="Q259" s="126" t="str">
        <f t="shared" si="27"/>
        <v/>
      </c>
      <c r="R259" s="114">
        <f t="shared" si="29"/>
        <v>0</v>
      </c>
      <c r="S259" s="126" t="str">
        <f t="shared" si="31"/>
        <v/>
      </c>
      <c r="T259" s="126" t="str">
        <f t="shared" si="30"/>
        <v/>
      </c>
      <c r="U259" s="100"/>
    </row>
    <row r="260" spans="2:21" s="4" customFormat="1" ht="15.75" x14ac:dyDescent="0.25">
      <c r="B260" s="95">
        <f t="shared" si="28"/>
        <v>256</v>
      </c>
      <c r="C260" s="95"/>
      <c r="D260" s="95"/>
      <c r="E260" s="96"/>
      <c r="F260" s="96"/>
      <c r="G260" s="95"/>
      <c r="H260" s="115"/>
      <c r="I260" s="112"/>
      <c r="J260" s="112"/>
      <c r="K260" s="113" t="str">
        <f t="shared" si="25"/>
        <v/>
      </c>
      <c r="L260" s="112"/>
      <c r="M260" s="113" t="str">
        <f t="shared" si="26"/>
        <v/>
      </c>
      <c r="N260" s="112"/>
      <c r="O260" s="112">
        <v>0</v>
      </c>
      <c r="P260" s="116">
        <v>0</v>
      </c>
      <c r="Q260" s="126" t="str">
        <f t="shared" si="27"/>
        <v/>
      </c>
      <c r="R260" s="114">
        <f t="shared" si="29"/>
        <v>0</v>
      </c>
      <c r="S260" s="126" t="str">
        <f t="shared" si="31"/>
        <v/>
      </c>
      <c r="T260" s="126" t="str">
        <f t="shared" si="30"/>
        <v/>
      </c>
      <c r="U260" s="100"/>
    </row>
    <row r="261" spans="2:21" s="4" customFormat="1" ht="15.75" x14ac:dyDescent="0.25">
      <c r="B261" s="95">
        <f t="shared" si="28"/>
        <v>257</v>
      </c>
      <c r="C261" s="95"/>
      <c r="D261" s="95"/>
      <c r="E261" s="96"/>
      <c r="F261" s="96"/>
      <c r="G261" s="95"/>
      <c r="H261" s="115"/>
      <c r="I261" s="112"/>
      <c r="J261" s="112"/>
      <c r="K261" s="113" t="str">
        <f t="shared" ref="K261:K324" si="32">IF(J261,(I261-J261)/I261,"")</f>
        <v/>
      </c>
      <c r="L261" s="112"/>
      <c r="M261" s="113" t="str">
        <f t="shared" ref="M261:M324" si="33">IF(J261,L261/I261,"")</f>
        <v/>
      </c>
      <c r="N261" s="112"/>
      <c r="O261" s="112">
        <v>0</v>
      </c>
      <c r="P261" s="116">
        <v>0</v>
      </c>
      <c r="Q261" s="126" t="str">
        <f t="shared" ref="Q261:Q324" si="34">IF(P261,P261/I261,"")</f>
        <v/>
      </c>
      <c r="R261" s="114">
        <f t="shared" si="29"/>
        <v>0</v>
      </c>
      <c r="S261" s="126" t="str">
        <f t="shared" si="31"/>
        <v/>
      </c>
      <c r="T261" s="126" t="str">
        <f t="shared" si="30"/>
        <v/>
      </c>
      <c r="U261" s="100"/>
    </row>
    <row r="262" spans="2:21" s="4" customFormat="1" ht="15.75" x14ac:dyDescent="0.25">
      <c r="B262" s="95">
        <f t="shared" ref="B262:B325" si="35">B261+1</f>
        <v>258</v>
      </c>
      <c r="C262" s="95"/>
      <c r="D262" s="95"/>
      <c r="E262" s="96"/>
      <c r="F262" s="96"/>
      <c r="G262" s="95"/>
      <c r="H262" s="115"/>
      <c r="I262" s="112"/>
      <c r="J262" s="112"/>
      <c r="K262" s="113" t="str">
        <f t="shared" si="32"/>
        <v/>
      </c>
      <c r="L262" s="112"/>
      <c r="M262" s="113" t="str">
        <f t="shared" si="33"/>
        <v/>
      </c>
      <c r="N262" s="112"/>
      <c r="O262" s="112">
        <v>0</v>
      </c>
      <c r="P262" s="116">
        <v>0</v>
      </c>
      <c r="Q262" s="126" t="str">
        <f t="shared" si="34"/>
        <v/>
      </c>
      <c r="R262" s="114">
        <f t="shared" ref="R262:R325" si="36">J262-P262</f>
        <v>0</v>
      </c>
      <c r="S262" s="126" t="str">
        <f t="shared" si="31"/>
        <v/>
      </c>
      <c r="T262" s="126" t="str">
        <f t="shared" ref="T262:T325" si="37">IF(L262,K262-M262,"")</f>
        <v/>
      </c>
      <c r="U262" s="100"/>
    </row>
    <row r="263" spans="2:21" s="4" customFormat="1" ht="15.75" x14ac:dyDescent="0.25">
      <c r="B263" s="95">
        <f t="shared" si="35"/>
        <v>259</v>
      </c>
      <c r="C263" s="95"/>
      <c r="D263" s="95"/>
      <c r="E263" s="96"/>
      <c r="F263" s="96"/>
      <c r="G263" s="95"/>
      <c r="H263" s="115"/>
      <c r="I263" s="112"/>
      <c r="J263" s="112"/>
      <c r="K263" s="113" t="str">
        <f t="shared" si="32"/>
        <v/>
      </c>
      <c r="L263" s="112"/>
      <c r="M263" s="113" t="str">
        <f t="shared" si="33"/>
        <v/>
      </c>
      <c r="N263" s="112"/>
      <c r="O263" s="112">
        <v>0</v>
      </c>
      <c r="P263" s="116">
        <v>0</v>
      </c>
      <c r="Q263" s="126" t="str">
        <f t="shared" si="34"/>
        <v/>
      </c>
      <c r="R263" s="114">
        <f t="shared" si="36"/>
        <v>0</v>
      </c>
      <c r="S263" s="126" t="str">
        <f t="shared" si="31"/>
        <v/>
      </c>
      <c r="T263" s="126" t="str">
        <f t="shared" si="37"/>
        <v/>
      </c>
      <c r="U263" s="100"/>
    </row>
    <row r="264" spans="2:21" s="4" customFormat="1" ht="15.75" x14ac:dyDescent="0.25">
      <c r="B264" s="95">
        <f t="shared" si="35"/>
        <v>260</v>
      </c>
      <c r="C264" s="95"/>
      <c r="D264" s="95"/>
      <c r="E264" s="96"/>
      <c r="F264" s="96"/>
      <c r="G264" s="95"/>
      <c r="H264" s="115"/>
      <c r="I264" s="112"/>
      <c r="J264" s="112"/>
      <c r="K264" s="113" t="str">
        <f t="shared" si="32"/>
        <v/>
      </c>
      <c r="L264" s="112"/>
      <c r="M264" s="113" t="str">
        <f t="shared" si="33"/>
        <v/>
      </c>
      <c r="N264" s="112"/>
      <c r="O264" s="112">
        <v>0</v>
      </c>
      <c r="P264" s="116">
        <v>0</v>
      </c>
      <c r="Q264" s="126" t="str">
        <f t="shared" si="34"/>
        <v/>
      </c>
      <c r="R264" s="114">
        <f t="shared" si="36"/>
        <v>0</v>
      </c>
      <c r="S264" s="126" t="str">
        <f t="shared" si="31"/>
        <v/>
      </c>
      <c r="T264" s="126" t="str">
        <f t="shared" si="37"/>
        <v/>
      </c>
      <c r="U264" s="100"/>
    </row>
    <row r="265" spans="2:21" s="4" customFormat="1" ht="15.75" x14ac:dyDescent="0.25">
      <c r="B265" s="95">
        <f t="shared" si="35"/>
        <v>261</v>
      </c>
      <c r="C265" s="95"/>
      <c r="D265" s="95"/>
      <c r="E265" s="96"/>
      <c r="F265" s="96"/>
      <c r="G265" s="95"/>
      <c r="H265" s="115"/>
      <c r="I265" s="112"/>
      <c r="J265" s="112"/>
      <c r="K265" s="113" t="str">
        <f t="shared" si="32"/>
        <v/>
      </c>
      <c r="L265" s="112"/>
      <c r="M265" s="113" t="str">
        <f t="shared" si="33"/>
        <v/>
      </c>
      <c r="N265" s="112"/>
      <c r="O265" s="112">
        <v>0</v>
      </c>
      <c r="P265" s="116">
        <v>0</v>
      </c>
      <c r="Q265" s="126" t="str">
        <f t="shared" si="34"/>
        <v/>
      </c>
      <c r="R265" s="114">
        <f t="shared" si="36"/>
        <v>0</v>
      </c>
      <c r="S265" s="126" t="str">
        <f t="shared" si="31"/>
        <v/>
      </c>
      <c r="T265" s="126" t="str">
        <f t="shared" si="37"/>
        <v/>
      </c>
      <c r="U265" s="100"/>
    </row>
    <row r="266" spans="2:21" s="4" customFormat="1" ht="15.75" x14ac:dyDescent="0.25">
      <c r="B266" s="95">
        <f t="shared" si="35"/>
        <v>262</v>
      </c>
      <c r="C266" s="95"/>
      <c r="D266" s="95"/>
      <c r="E266" s="96"/>
      <c r="F266" s="96"/>
      <c r="G266" s="95"/>
      <c r="H266" s="115"/>
      <c r="I266" s="112"/>
      <c r="J266" s="112"/>
      <c r="K266" s="113" t="str">
        <f t="shared" si="32"/>
        <v/>
      </c>
      <c r="L266" s="112"/>
      <c r="M266" s="113" t="str">
        <f t="shared" si="33"/>
        <v/>
      </c>
      <c r="N266" s="112"/>
      <c r="O266" s="112">
        <v>0</v>
      </c>
      <c r="P266" s="116">
        <v>0</v>
      </c>
      <c r="Q266" s="126" t="str">
        <f t="shared" si="34"/>
        <v/>
      </c>
      <c r="R266" s="114">
        <f t="shared" si="36"/>
        <v>0</v>
      </c>
      <c r="S266" s="126" t="str">
        <f t="shared" si="31"/>
        <v/>
      </c>
      <c r="T266" s="126" t="str">
        <f t="shared" si="37"/>
        <v/>
      </c>
      <c r="U266" s="100"/>
    </row>
    <row r="267" spans="2:21" s="4" customFormat="1" ht="15.75" x14ac:dyDescent="0.25">
      <c r="B267" s="95">
        <f t="shared" si="35"/>
        <v>263</v>
      </c>
      <c r="C267" s="95"/>
      <c r="D267" s="95"/>
      <c r="E267" s="96"/>
      <c r="F267" s="96"/>
      <c r="G267" s="95"/>
      <c r="H267" s="115"/>
      <c r="I267" s="112"/>
      <c r="J267" s="112"/>
      <c r="K267" s="113" t="str">
        <f t="shared" si="32"/>
        <v/>
      </c>
      <c r="L267" s="112"/>
      <c r="M267" s="113" t="str">
        <f t="shared" si="33"/>
        <v/>
      </c>
      <c r="N267" s="112"/>
      <c r="O267" s="112">
        <v>0</v>
      </c>
      <c r="P267" s="116">
        <v>0</v>
      </c>
      <c r="Q267" s="126" t="str">
        <f t="shared" si="34"/>
        <v/>
      </c>
      <c r="R267" s="114">
        <f t="shared" si="36"/>
        <v>0</v>
      </c>
      <c r="S267" s="126" t="str">
        <f t="shared" si="31"/>
        <v/>
      </c>
      <c r="T267" s="126" t="str">
        <f t="shared" si="37"/>
        <v/>
      </c>
      <c r="U267" s="100"/>
    </row>
    <row r="268" spans="2:21" s="4" customFormat="1" ht="15.75" x14ac:dyDescent="0.25">
      <c r="B268" s="95">
        <f t="shared" si="35"/>
        <v>264</v>
      </c>
      <c r="C268" s="95"/>
      <c r="D268" s="95"/>
      <c r="E268" s="96"/>
      <c r="F268" s="96"/>
      <c r="G268" s="95"/>
      <c r="H268" s="115"/>
      <c r="I268" s="112"/>
      <c r="J268" s="112"/>
      <c r="K268" s="113" t="str">
        <f t="shared" si="32"/>
        <v/>
      </c>
      <c r="L268" s="112"/>
      <c r="M268" s="113" t="str">
        <f t="shared" si="33"/>
        <v/>
      </c>
      <c r="N268" s="112"/>
      <c r="O268" s="112">
        <v>0</v>
      </c>
      <c r="P268" s="116">
        <v>0</v>
      </c>
      <c r="Q268" s="126" t="str">
        <f t="shared" si="34"/>
        <v/>
      </c>
      <c r="R268" s="114">
        <f t="shared" si="36"/>
        <v>0</v>
      </c>
      <c r="S268" s="126" t="str">
        <f t="shared" si="31"/>
        <v/>
      </c>
      <c r="T268" s="126" t="str">
        <f t="shared" si="37"/>
        <v/>
      </c>
      <c r="U268" s="100"/>
    </row>
    <row r="269" spans="2:21" s="4" customFormat="1" ht="15.75" x14ac:dyDescent="0.25">
      <c r="B269" s="95">
        <f t="shared" si="35"/>
        <v>265</v>
      </c>
      <c r="C269" s="95"/>
      <c r="D269" s="95"/>
      <c r="E269" s="96"/>
      <c r="F269" s="96"/>
      <c r="G269" s="95"/>
      <c r="H269" s="115"/>
      <c r="I269" s="112"/>
      <c r="J269" s="112"/>
      <c r="K269" s="113" t="str">
        <f t="shared" si="32"/>
        <v/>
      </c>
      <c r="L269" s="112"/>
      <c r="M269" s="113" t="str">
        <f t="shared" si="33"/>
        <v/>
      </c>
      <c r="N269" s="112"/>
      <c r="O269" s="112">
        <v>0</v>
      </c>
      <c r="P269" s="116">
        <v>0</v>
      </c>
      <c r="Q269" s="126" t="str">
        <f t="shared" si="34"/>
        <v/>
      </c>
      <c r="R269" s="114">
        <f t="shared" si="36"/>
        <v>0</v>
      </c>
      <c r="S269" s="126" t="str">
        <f t="shared" si="31"/>
        <v/>
      </c>
      <c r="T269" s="126" t="str">
        <f t="shared" si="37"/>
        <v/>
      </c>
      <c r="U269" s="100"/>
    </row>
    <row r="270" spans="2:21" s="4" customFormat="1" ht="15.75" x14ac:dyDescent="0.25">
      <c r="B270" s="95">
        <f t="shared" si="35"/>
        <v>266</v>
      </c>
      <c r="C270" s="95"/>
      <c r="D270" s="95"/>
      <c r="E270" s="96"/>
      <c r="F270" s="96"/>
      <c r="G270" s="95"/>
      <c r="H270" s="115"/>
      <c r="I270" s="112"/>
      <c r="J270" s="112"/>
      <c r="K270" s="113" t="str">
        <f t="shared" si="32"/>
        <v/>
      </c>
      <c r="L270" s="112"/>
      <c r="M270" s="113" t="str">
        <f t="shared" si="33"/>
        <v/>
      </c>
      <c r="N270" s="112"/>
      <c r="O270" s="112">
        <v>0</v>
      </c>
      <c r="P270" s="116">
        <v>0</v>
      </c>
      <c r="Q270" s="126" t="str">
        <f t="shared" si="34"/>
        <v/>
      </c>
      <c r="R270" s="114">
        <f t="shared" si="36"/>
        <v>0</v>
      </c>
      <c r="S270" s="126" t="str">
        <f t="shared" si="31"/>
        <v/>
      </c>
      <c r="T270" s="126" t="str">
        <f t="shared" si="37"/>
        <v/>
      </c>
      <c r="U270" s="100"/>
    </row>
    <row r="271" spans="2:21" s="4" customFormat="1" ht="15.75" x14ac:dyDescent="0.25">
      <c r="B271" s="95">
        <f t="shared" si="35"/>
        <v>267</v>
      </c>
      <c r="C271" s="95"/>
      <c r="D271" s="95"/>
      <c r="E271" s="96"/>
      <c r="F271" s="96"/>
      <c r="G271" s="95"/>
      <c r="H271" s="115"/>
      <c r="I271" s="112"/>
      <c r="J271" s="112"/>
      <c r="K271" s="113" t="str">
        <f t="shared" si="32"/>
        <v/>
      </c>
      <c r="L271" s="112"/>
      <c r="M271" s="113" t="str">
        <f t="shared" si="33"/>
        <v/>
      </c>
      <c r="N271" s="112"/>
      <c r="O271" s="112">
        <v>0</v>
      </c>
      <c r="P271" s="116">
        <v>0</v>
      </c>
      <c r="Q271" s="126" t="str">
        <f t="shared" si="34"/>
        <v/>
      </c>
      <c r="R271" s="114">
        <f t="shared" si="36"/>
        <v>0</v>
      </c>
      <c r="S271" s="126" t="str">
        <f t="shared" si="31"/>
        <v/>
      </c>
      <c r="T271" s="126" t="str">
        <f t="shared" si="37"/>
        <v/>
      </c>
      <c r="U271" s="100"/>
    </row>
    <row r="272" spans="2:21" s="4" customFormat="1" ht="15.75" x14ac:dyDescent="0.25">
      <c r="B272" s="95">
        <f t="shared" si="35"/>
        <v>268</v>
      </c>
      <c r="C272" s="95"/>
      <c r="D272" s="95"/>
      <c r="E272" s="96"/>
      <c r="F272" s="96"/>
      <c r="G272" s="95"/>
      <c r="H272" s="115"/>
      <c r="I272" s="112"/>
      <c r="J272" s="112"/>
      <c r="K272" s="113" t="str">
        <f t="shared" si="32"/>
        <v/>
      </c>
      <c r="L272" s="112"/>
      <c r="M272" s="113" t="str">
        <f t="shared" si="33"/>
        <v/>
      </c>
      <c r="N272" s="112"/>
      <c r="O272" s="112">
        <v>0</v>
      </c>
      <c r="P272" s="116">
        <v>0</v>
      </c>
      <c r="Q272" s="126" t="str">
        <f t="shared" si="34"/>
        <v/>
      </c>
      <c r="R272" s="114">
        <f t="shared" si="36"/>
        <v>0</v>
      </c>
      <c r="S272" s="126" t="str">
        <f t="shared" si="31"/>
        <v/>
      </c>
      <c r="T272" s="126" t="str">
        <f t="shared" si="37"/>
        <v/>
      </c>
      <c r="U272" s="100"/>
    </row>
    <row r="273" spans="2:21" s="4" customFormat="1" ht="15.75" x14ac:dyDescent="0.25">
      <c r="B273" s="95">
        <f t="shared" si="35"/>
        <v>269</v>
      </c>
      <c r="C273" s="95"/>
      <c r="D273" s="95"/>
      <c r="E273" s="96"/>
      <c r="F273" s="96"/>
      <c r="G273" s="95"/>
      <c r="H273" s="115"/>
      <c r="I273" s="112"/>
      <c r="J273" s="112"/>
      <c r="K273" s="113" t="str">
        <f t="shared" si="32"/>
        <v/>
      </c>
      <c r="L273" s="112"/>
      <c r="M273" s="113" t="str">
        <f t="shared" si="33"/>
        <v/>
      </c>
      <c r="N273" s="112"/>
      <c r="O273" s="112">
        <v>0</v>
      </c>
      <c r="P273" s="116">
        <v>0</v>
      </c>
      <c r="Q273" s="126" t="str">
        <f t="shared" si="34"/>
        <v/>
      </c>
      <c r="R273" s="114">
        <f t="shared" si="36"/>
        <v>0</v>
      </c>
      <c r="S273" s="126" t="str">
        <f t="shared" si="31"/>
        <v/>
      </c>
      <c r="T273" s="126" t="str">
        <f t="shared" si="37"/>
        <v/>
      </c>
      <c r="U273" s="100"/>
    </row>
    <row r="274" spans="2:21" s="4" customFormat="1" ht="15.75" x14ac:dyDescent="0.25">
      <c r="B274" s="95">
        <f t="shared" si="35"/>
        <v>270</v>
      </c>
      <c r="C274" s="95"/>
      <c r="D274" s="95"/>
      <c r="E274" s="96"/>
      <c r="F274" s="96"/>
      <c r="G274" s="95"/>
      <c r="H274" s="115"/>
      <c r="I274" s="112"/>
      <c r="J274" s="112"/>
      <c r="K274" s="113" t="str">
        <f t="shared" si="32"/>
        <v/>
      </c>
      <c r="L274" s="112"/>
      <c r="M274" s="113" t="str">
        <f t="shared" si="33"/>
        <v/>
      </c>
      <c r="N274" s="112"/>
      <c r="O274" s="112">
        <v>0</v>
      </c>
      <c r="P274" s="116">
        <v>0</v>
      </c>
      <c r="Q274" s="126" t="str">
        <f t="shared" si="34"/>
        <v/>
      </c>
      <c r="R274" s="114">
        <f t="shared" si="36"/>
        <v>0</v>
      </c>
      <c r="S274" s="126" t="str">
        <f t="shared" si="31"/>
        <v/>
      </c>
      <c r="T274" s="126" t="str">
        <f t="shared" si="37"/>
        <v/>
      </c>
      <c r="U274" s="100"/>
    </row>
    <row r="275" spans="2:21" s="4" customFormat="1" ht="15.75" x14ac:dyDescent="0.25">
      <c r="B275" s="95">
        <f t="shared" si="35"/>
        <v>271</v>
      </c>
      <c r="C275" s="95"/>
      <c r="D275" s="95"/>
      <c r="E275" s="96"/>
      <c r="F275" s="96"/>
      <c r="G275" s="95"/>
      <c r="H275" s="115"/>
      <c r="I275" s="112"/>
      <c r="J275" s="112"/>
      <c r="K275" s="113" t="str">
        <f t="shared" si="32"/>
        <v/>
      </c>
      <c r="L275" s="112"/>
      <c r="M275" s="113" t="str">
        <f t="shared" si="33"/>
        <v/>
      </c>
      <c r="N275" s="112"/>
      <c r="O275" s="112">
        <v>0</v>
      </c>
      <c r="P275" s="116">
        <v>0</v>
      </c>
      <c r="Q275" s="126" t="str">
        <f t="shared" si="34"/>
        <v/>
      </c>
      <c r="R275" s="114">
        <f t="shared" si="36"/>
        <v>0</v>
      </c>
      <c r="S275" s="126" t="str">
        <f t="shared" si="31"/>
        <v/>
      </c>
      <c r="T275" s="126" t="str">
        <f t="shared" si="37"/>
        <v/>
      </c>
      <c r="U275" s="100"/>
    </row>
    <row r="276" spans="2:21" s="4" customFormat="1" ht="15.75" x14ac:dyDescent="0.25">
      <c r="B276" s="95">
        <f t="shared" si="35"/>
        <v>272</v>
      </c>
      <c r="C276" s="95"/>
      <c r="D276" s="95"/>
      <c r="E276" s="96"/>
      <c r="F276" s="96"/>
      <c r="G276" s="95"/>
      <c r="H276" s="115"/>
      <c r="I276" s="112"/>
      <c r="J276" s="112"/>
      <c r="K276" s="113" t="str">
        <f t="shared" si="32"/>
        <v/>
      </c>
      <c r="L276" s="112"/>
      <c r="M276" s="113" t="str">
        <f t="shared" si="33"/>
        <v/>
      </c>
      <c r="N276" s="112"/>
      <c r="O276" s="112">
        <v>0</v>
      </c>
      <c r="P276" s="116">
        <v>0</v>
      </c>
      <c r="Q276" s="126" t="str">
        <f t="shared" si="34"/>
        <v/>
      </c>
      <c r="R276" s="114">
        <f t="shared" si="36"/>
        <v>0</v>
      </c>
      <c r="S276" s="126" t="str">
        <f t="shared" si="31"/>
        <v/>
      </c>
      <c r="T276" s="126" t="str">
        <f t="shared" si="37"/>
        <v/>
      </c>
      <c r="U276" s="100"/>
    </row>
    <row r="277" spans="2:21" s="4" customFormat="1" ht="15.75" x14ac:dyDescent="0.25">
      <c r="B277" s="95">
        <f t="shared" si="35"/>
        <v>273</v>
      </c>
      <c r="C277" s="95"/>
      <c r="D277" s="95"/>
      <c r="E277" s="96"/>
      <c r="F277" s="96"/>
      <c r="G277" s="95"/>
      <c r="H277" s="115"/>
      <c r="I277" s="112"/>
      <c r="J277" s="112"/>
      <c r="K277" s="113" t="str">
        <f t="shared" si="32"/>
        <v/>
      </c>
      <c r="L277" s="112"/>
      <c r="M277" s="113" t="str">
        <f t="shared" si="33"/>
        <v/>
      </c>
      <c r="N277" s="112"/>
      <c r="O277" s="112">
        <v>0</v>
      </c>
      <c r="P277" s="116">
        <v>0</v>
      </c>
      <c r="Q277" s="126" t="str">
        <f t="shared" si="34"/>
        <v/>
      </c>
      <c r="R277" s="114">
        <f t="shared" si="36"/>
        <v>0</v>
      </c>
      <c r="S277" s="126" t="str">
        <f t="shared" si="31"/>
        <v/>
      </c>
      <c r="T277" s="126" t="str">
        <f t="shared" si="37"/>
        <v/>
      </c>
      <c r="U277" s="97"/>
    </row>
    <row r="278" spans="2:21" s="4" customFormat="1" ht="15.75" x14ac:dyDescent="0.25">
      <c r="B278" s="95">
        <f t="shared" si="35"/>
        <v>274</v>
      </c>
      <c r="C278" s="95"/>
      <c r="D278" s="95"/>
      <c r="E278" s="96"/>
      <c r="F278" s="96"/>
      <c r="G278" s="95"/>
      <c r="H278" s="115"/>
      <c r="I278" s="112"/>
      <c r="J278" s="112"/>
      <c r="K278" s="113" t="str">
        <f t="shared" si="32"/>
        <v/>
      </c>
      <c r="L278" s="112"/>
      <c r="M278" s="113" t="str">
        <f t="shared" si="33"/>
        <v/>
      </c>
      <c r="N278" s="112"/>
      <c r="O278" s="112">
        <v>0</v>
      </c>
      <c r="P278" s="116">
        <v>0</v>
      </c>
      <c r="Q278" s="126" t="str">
        <f t="shared" si="34"/>
        <v/>
      </c>
      <c r="R278" s="114">
        <f t="shared" si="36"/>
        <v>0</v>
      </c>
      <c r="S278" s="126" t="str">
        <f t="shared" si="31"/>
        <v/>
      </c>
      <c r="T278" s="126" t="str">
        <f t="shared" si="37"/>
        <v/>
      </c>
      <c r="U278" s="97"/>
    </row>
    <row r="279" spans="2:21" s="4" customFormat="1" ht="15.75" x14ac:dyDescent="0.25">
      <c r="B279" s="95">
        <f t="shared" si="35"/>
        <v>275</v>
      </c>
      <c r="C279" s="95"/>
      <c r="D279" s="95"/>
      <c r="E279" s="96"/>
      <c r="F279" s="96"/>
      <c r="G279" s="95"/>
      <c r="H279" s="115"/>
      <c r="I279" s="112"/>
      <c r="J279" s="112"/>
      <c r="K279" s="113" t="str">
        <f t="shared" si="32"/>
        <v/>
      </c>
      <c r="L279" s="112"/>
      <c r="M279" s="113" t="str">
        <f t="shared" si="33"/>
        <v/>
      </c>
      <c r="N279" s="112"/>
      <c r="O279" s="112">
        <v>0</v>
      </c>
      <c r="P279" s="116">
        <v>0</v>
      </c>
      <c r="Q279" s="126" t="str">
        <f t="shared" si="34"/>
        <v/>
      </c>
      <c r="R279" s="114">
        <f t="shared" si="36"/>
        <v>0</v>
      </c>
      <c r="S279" s="126" t="str">
        <f t="shared" si="31"/>
        <v/>
      </c>
      <c r="T279" s="126" t="str">
        <f t="shared" si="37"/>
        <v/>
      </c>
      <c r="U279" s="97"/>
    </row>
    <row r="280" spans="2:21" s="4" customFormat="1" ht="15.75" x14ac:dyDescent="0.25">
      <c r="B280" s="95">
        <f t="shared" si="35"/>
        <v>276</v>
      </c>
      <c r="C280" s="95"/>
      <c r="D280" s="95"/>
      <c r="E280" s="96"/>
      <c r="F280" s="96"/>
      <c r="G280" s="95"/>
      <c r="H280" s="115"/>
      <c r="I280" s="112"/>
      <c r="J280" s="112"/>
      <c r="K280" s="113" t="str">
        <f t="shared" si="32"/>
        <v/>
      </c>
      <c r="L280" s="112"/>
      <c r="M280" s="113" t="str">
        <f t="shared" si="33"/>
        <v/>
      </c>
      <c r="N280" s="112"/>
      <c r="O280" s="112">
        <v>0</v>
      </c>
      <c r="P280" s="116">
        <v>0</v>
      </c>
      <c r="Q280" s="126" t="str">
        <f t="shared" si="34"/>
        <v/>
      </c>
      <c r="R280" s="114">
        <f t="shared" si="36"/>
        <v>0</v>
      </c>
      <c r="S280" s="126" t="str">
        <f t="shared" si="31"/>
        <v/>
      </c>
      <c r="T280" s="126" t="str">
        <f t="shared" si="37"/>
        <v/>
      </c>
      <c r="U280" s="97"/>
    </row>
    <row r="281" spans="2:21" s="4" customFormat="1" ht="15.75" x14ac:dyDescent="0.25">
      <c r="B281" s="95">
        <f t="shared" si="35"/>
        <v>277</v>
      </c>
      <c r="C281" s="95"/>
      <c r="D281" s="95"/>
      <c r="E281" s="96"/>
      <c r="F281" s="96"/>
      <c r="G281" s="95"/>
      <c r="H281" s="115"/>
      <c r="I281" s="112"/>
      <c r="J281" s="112"/>
      <c r="K281" s="113" t="str">
        <f t="shared" si="32"/>
        <v/>
      </c>
      <c r="L281" s="112"/>
      <c r="M281" s="113" t="str">
        <f t="shared" si="33"/>
        <v/>
      </c>
      <c r="N281" s="112"/>
      <c r="O281" s="112">
        <v>0</v>
      </c>
      <c r="P281" s="116">
        <v>0</v>
      </c>
      <c r="Q281" s="126" t="str">
        <f t="shared" si="34"/>
        <v/>
      </c>
      <c r="R281" s="114">
        <f t="shared" si="36"/>
        <v>0</v>
      </c>
      <c r="S281" s="126" t="str">
        <f t="shared" si="31"/>
        <v/>
      </c>
      <c r="T281" s="126" t="str">
        <f t="shared" si="37"/>
        <v/>
      </c>
      <c r="U281" s="97"/>
    </row>
    <row r="282" spans="2:21" s="4" customFormat="1" ht="15.75" x14ac:dyDescent="0.25">
      <c r="B282" s="95">
        <f t="shared" si="35"/>
        <v>278</v>
      </c>
      <c r="C282" s="95"/>
      <c r="D282" s="95"/>
      <c r="E282" s="96"/>
      <c r="F282" s="96"/>
      <c r="G282" s="95"/>
      <c r="H282" s="115"/>
      <c r="I282" s="112"/>
      <c r="J282" s="112"/>
      <c r="K282" s="113" t="str">
        <f t="shared" si="32"/>
        <v/>
      </c>
      <c r="L282" s="112"/>
      <c r="M282" s="113" t="str">
        <f t="shared" si="33"/>
        <v/>
      </c>
      <c r="N282" s="112"/>
      <c r="O282" s="112">
        <v>0</v>
      </c>
      <c r="P282" s="116">
        <v>0</v>
      </c>
      <c r="Q282" s="126" t="str">
        <f t="shared" si="34"/>
        <v/>
      </c>
      <c r="R282" s="114">
        <f t="shared" si="36"/>
        <v>0</v>
      </c>
      <c r="S282" s="126" t="str">
        <f t="shared" si="31"/>
        <v/>
      </c>
      <c r="T282" s="126" t="str">
        <f t="shared" si="37"/>
        <v/>
      </c>
      <c r="U282" s="97"/>
    </row>
    <row r="283" spans="2:21" s="4" customFormat="1" ht="15.75" x14ac:dyDescent="0.25">
      <c r="B283" s="95">
        <f t="shared" si="35"/>
        <v>279</v>
      </c>
      <c r="C283" s="95"/>
      <c r="D283" s="95"/>
      <c r="E283" s="96"/>
      <c r="F283" s="96"/>
      <c r="G283" s="95"/>
      <c r="H283" s="115"/>
      <c r="I283" s="112"/>
      <c r="J283" s="112"/>
      <c r="K283" s="113" t="str">
        <f t="shared" si="32"/>
        <v/>
      </c>
      <c r="L283" s="112"/>
      <c r="M283" s="113" t="str">
        <f t="shared" si="33"/>
        <v/>
      </c>
      <c r="N283" s="112"/>
      <c r="O283" s="112">
        <v>0</v>
      </c>
      <c r="P283" s="116">
        <v>0</v>
      </c>
      <c r="Q283" s="126" t="str">
        <f t="shared" si="34"/>
        <v/>
      </c>
      <c r="R283" s="114">
        <f t="shared" si="36"/>
        <v>0</v>
      </c>
      <c r="S283" s="126" t="str">
        <f t="shared" si="31"/>
        <v/>
      </c>
      <c r="T283" s="126" t="str">
        <f t="shared" si="37"/>
        <v/>
      </c>
      <c r="U283" s="97"/>
    </row>
    <row r="284" spans="2:21" s="4" customFormat="1" ht="15.75" x14ac:dyDescent="0.25">
      <c r="B284" s="95">
        <f t="shared" si="35"/>
        <v>280</v>
      </c>
      <c r="C284" s="95"/>
      <c r="D284" s="95"/>
      <c r="E284" s="96"/>
      <c r="F284" s="96"/>
      <c r="G284" s="95"/>
      <c r="H284" s="115"/>
      <c r="I284" s="112"/>
      <c r="J284" s="112"/>
      <c r="K284" s="113" t="str">
        <f t="shared" si="32"/>
        <v/>
      </c>
      <c r="L284" s="112"/>
      <c r="M284" s="113" t="str">
        <f t="shared" si="33"/>
        <v/>
      </c>
      <c r="N284" s="112"/>
      <c r="O284" s="112">
        <v>0</v>
      </c>
      <c r="P284" s="116">
        <v>0</v>
      </c>
      <c r="Q284" s="126" t="str">
        <f t="shared" si="34"/>
        <v/>
      </c>
      <c r="R284" s="114">
        <f t="shared" si="36"/>
        <v>0</v>
      </c>
      <c r="S284" s="126" t="str">
        <f t="shared" si="31"/>
        <v/>
      </c>
      <c r="T284" s="126" t="str">
        <f t="shared" si="37"/>
        <v/>
      </c>
      <c r="U284" s="97"/>
    </row>
    <row r="285" spans="2:21" s="4" customFormat="1" ht="15.75" x14ac:dyDescent="0.25">
      <c r="B285" s="95">
        <f t="shared" si="35"/>
        <v>281</v>
      </c>
      <c r="C285" s="95"/>
      <c r="D285" s="95"/>
      <c r="E285" s="96"/>
      <c r="F285" s="96"/>
      <c r="G285" s="95"/>
      <c r="H285" s="115"/>
      <c r="I285" s="112"/>
      <c r="J285" s="112"/>
      <c r="K285" s="113" t="str">
        <f t="shared" si="32"/>
        <v/>
      </c>
      <c r="L285" s="112"/>
      <c r="M285" s="113" t="str">
        <f t="shared" si="33"/>
        <v/>
      </c>
      <c r="N285" s="112"/>
      <c r="O285" s="112">
        <v>0</v>
      </c>
      <c r="P285" s="116">
        <v>0</v>
      </c>
      <c r="Q285" s="126" t="str">
        <f t="shared" si="34"/>
        <v/>
      </c>
      <c r="R285" s="114">
        <f t="shared" si="36"/>
        <v>0</v>
      </c>
      <c r="S285" s="126" t="str">
        <f t="shared" si="31"/>
        <v/>
      </c>
      <c r="T285" s="126" t="str">
        <f t="shared" si="37"/>
        <v/>
      </c>
      <c r="U285" s="97"/>
    </row>
    <row r="286" spans="2:21" s="4" customFormat="1" ht="15.75" x14ac:dyDescent="0.25">
      <c r="B286" s="95">
        <f t="shared" si="35"/>
        <v>282</v>
      </c>
      <c r="C286" s="95"/>
      <c r="D286" s="95"/>
      <c r="E286" s="96"/>
      <c r="F286" s="96"/>
      <c r="G286" s="95"/>
      <c r="H286" s="115"/>
      <c r="I286" s="112"/>
      <c r="J286" s="112"/>
      <c r="K286" s="113" t="str">
        <f t="shared" si="32"/>
        <v/>
      </c>
      <c r="L286" s="112"/>
      <c r="M286" s="113" t="str">
        <f t="shared" si="33"/>
        <v/>
      </c>
      <c r="N286" s="112"/>
      <c r="O286" s="112">
        <v>0</v>
      </c>
      <c r="P286" s="116">
        <v>0</v>
      </c>
      <c r="Q286" s="126" t="str">
        <f t="shared" si="34"/>
        <v/>
      </c>
      <c r="R286" s="114">
        <f t="shared" si="36"/>
        <v>0</v>
      </c>
      <c r="S286" s="126" t="str">
        <f t="shared" si="31"/>
        <v/>
      </c>
      <c r="T286" s="126" t="str">
        <f t="shared" si="37"/>
        <v/>
      </c>
      <c r="U286" s="97"/>
    </row>
    <row r="287" spans="2:21" s="4" customFormat="1" ht="15.75" x14ac:dyDescent="0.25">
      <c r="B287" s="95">
        <f t="shared" si="35"/>
        <v>283</v>
      </c>
      <c r="C287" s="95"/>
      <c r="D287" s="95"/>
      <c r="E287" s="96"/>
      <c r="F287" s="96"/>
      <c r="G287" s="95"/>
      <c r="H287" s="115"/>
      <c r="I287" s="112"/>
      <c r="J287" s="112"/>
      <c r="K287" s="113" t="str">
        <f t="shared" si="32"/>
        <v/>
      </c>
      <c r="L287" s="112"/>
      <c r="M287" s="113" t="str">
        <f t="shared" si="33"/>
        <v/>
      </c>
      <c r="N287" s="112"/>
      <c r="O287" s="112">
        <v>0</v>
      </c>
      <c r="P287" s="116">
        <v>0</v>
      </c>
      <c r="Q287" s="126" t="str">
        <f t="shared" si="34"/>
        <v/>
      </c>
      <c r="R287" s="114">
        <f t="shared" si="36"/>
        <v>0</v>
      </c>
      <c r="S287" s="126" t="str">
        <f t="shared" si="31"/>
        <v/>
      </c>
      <c r="T287" s="126" t="str">
        <f t="shared" si="37"/>
        <v/>
      </c>
      <c r="U287" s="97"/>
    </row>
    <row r="288" spans="2:21" s="4" customFormat="1" ht="15.75" x14ac:dyDescent="0.25">
      <c r="B288" s="95">
        <f t="shared" si="35"/>
        <v>284</v>
      </c>
      <c r="C288" s="95"/>
      <c r="D288" s="95"/>
      <c r="E288" s="96"/>
      <c r="F288" s="96"/>
      <c r="G288" s="95"/>
      <c r="H288" s="115"/>
      <c r="I288" s="112"/>
      <c r="J288" s="112"/>
      <c r="K288" s="113" t="str">
        <f t="shared" si="32"/>
        <v/>
      </c>
      <c r="L288" s="112"/>
      <c r="M288" s="113" t="str">
        <f t="shared" si="33"/>
        <v/>
      </c>
      <c r="N288" s="112"/>
      <c r="O288" s="112">
        <v>0</v>
      </c>
      <c r="P288" s="116">
        <v>0</v>
      </c>
      <c r="Q288" s="126" t="str">
        <f t="shared" si="34"/>
        <v/>
      </c>
      <c r="R288" s="114">
        <f t="shared" si="36"/>
        <v>0</v>
      </c>
      <c r="S288" s="126" t="str">
        <f t="shared" si="31"/>
        <v/>
      </c>
      <c r="T288" s="126" t="str">
        <f t="shared" si="37"/>
        <v/>
      </c>
      <c r="U288" s="97"/>
    </row>
    <row r="289" spans="2:21" s="4" customFormat="1" ht="15.75" x14ac:dyDescent="0.25">
      <c r="B289" s="95">
        <f t="shared" si="35"/>
        <v>285</v>
      </c>
      <c r="C289" s="95"/>
      <c r="D289" s="95"/>
      <c r="E289" s="96"/>
      <c r="F289" s="96"/>
      <c r="G289" s="95"/>
      <c r="H289" s="115"/>
      <c r="I289" s="112"/>
      <c r="J289" s="112"/>
      <c r="K289" s="113" t="str">
        <f t="shared" si="32"/>
        <v/>
      </c>
      <c r="L289" s="112"/>
      <c r="M289" s="113" t="str">
        <f t="shared" si="33"/>
        <v/>
      </c>
      <c r="N289" s="112"/>
      <c r="O289" s="112">
        <v>0</v>
      </c>
      <c r="P289" s="116">
        <v>0</v>
      </c>
      <c r="Q289" s="126" t="str">
        <f t="shared" si="34"/>
        <v/>
      </c>
      <c r="R289" s="114">
        <f t="shared" si="36"/>
        <v>0</v>
      </c>
      <c r="S289" s="126" t="str">
        <f t="shared" si="31"/>
        <v/>
      </c>
      <c r="T289" s="126" t="str">
        <f t="shared" si="37"/>
        <v/>
      </c>
      <c r="U289" s="97"/>
    </row>
    <row r="290" spans="2:21" s="4" customFormat="1" ht="15.75" x14ac:dyDescent="0.25">
      <c r="B290" s="95">
        <f t="shared" si="35"/>
        <v>286</v>
      </c>
      <c r="C290" s="95"/>
      <c r="D290" s="95"/>
      <c r="E290" s="96"/>
      <c r="F290" s="96"/>
      <c r="G290" s="95"/>
      <c r="H290" s="115"/>
      <c r="I290" s="112"/>
      <c r="J290" s="112"/>
      <c r="K290" s="113" t="str">
        <f t="shared" si="32"/>
        <v/>
      </c>
      <c r="L290" s="112"/>
      <c r="M290" s="113" t="str">
        <f t="shared" si="33"/>
        <v/>
      </c>
      <c r="N290" s="112"/>
      <c r="O290" s="112">
        <v>0</v>
      </c>
      <c r="P290" s="116">
        <v>0</v>
      </c>
      <c r="Q290" s="126" t="str">
        <f t="shared" si="34"/>
        <v/>
      </c>
      <c r="R290" s="114">
        <f t="shared" si="36"/>
        <v>0</v>
      </c>
      <c r="S290" s="126" t="str">
        <f t="shared" si="31"/>
        <v/>
      </c>
      <c r="T290" s="126" t="str">
        <f t="shared" si="37"/>
        <v/>
      </c>
      <c r="U290" s="97"/>
    </row>
    <row r="291" spans="2:21" s="4" customFormat="1" ht="15.75" x14ac:dyDescent="0.25">
      <c r="B291" s="95">
        <f t="shared" si="35"/>
        <v>287</v>
      </c>
      <c r="C291" s="95"/>
      <c r="D291" s="95"/>
      <c r="E291" s="96"/>
      <c r="F291" s="96"/>
      <c r="G291" s="95"/>
      <c r="H291" s="115"/>
      <c r="I291" s="112"/>
      <c r="J291" s="112"/>
      <c r="K291" s="113" t="str">
        <f t="shared" si="32"/>
        <v/>
      </c>
      <c r="L291" s="112"/>
      <c r="M291" s="113" t="str">
        <f t="shared" si="33"/>
        <v/>
      </c>
      <c r="N291" s="112"/>
      <c r="O291" s="112">
        <v>0</v>
      </c>
      <c r="P291" s="116">
        <v>0</v>
      </c>
      <c r="Q291" s="126" t="str">
        <f t="shared" si="34"/>
        <v/>
      </c>
      <c r="R291" s="114">
        <f t="shared" si="36"/>
        <v>0</v>
      </c>
      <c r="S291" s="126" t="str">
        <f t="shared" si="31"/>
        <v/>
      </c>
      <c r="T291" s="126" t="str">
        <f t="shared" si="37"/>
        <v/>
      </c>
      <c r="U291" s="97"/>
    </row>
    <row r="292" spans="2:21" s="4" customFormat="1" ht="15.75" x14ac:dyDescent="0.25">
      <c r="B292" s="95">
        <f t="shared" si="35"/>
        <v>288</v>
      </c>
      <c r="C292" s="95"/>
      <c r="D292" s="95"/>
      <c r="E292" s="96"/>
      <c r="F292" s="96"/>
      <c r="G292" s="95"/>
      <c r="H292" s="115"/>
      <c r="I292" s="112"/>
      <c r="J292" s="112"/>
      <c r="K292" s="113" t="str">
        <f t="shared" si="32"/>
        <v/>
      </c>
      <c r="L292" s="112"/>
      <c r="M292" s="113" t="str">
        <f t="shared" si="33"/>
        <v/>
      </c>
      <c r="N292" s="112"/>
      <c r="O292" s="112">
        <v>0</v>
      </c>
      <c r="P292" s="116">
        <v>0</v>
      </c>
      <c r="Q292" s="126" t="str">
        <f t="shared" si="34"/>
        <v/>
      </c>
      <c r="R292" s="114">
        <f t="shared" si="36"/>
        <v>0</v>
      </c>
      <c r="S292" s="126" t="str">
        <f t="shared" si="31"/>
        <v/>
      </c>
      <c r="T292" s="126" t="str">
        <f t="shared" si="37"/>
        <v/>
      </c>
      <c r="U292" s="97"/>
    </row>
    <row r="293" spans="2:21" s="4" customFormat="1" ht="15.75" x14ac:dyDescent="0.25">
      <c r="B293" s="95">
        <f t="shared" si="35"/>
        <v>289</v>
      </c>
      <c r="C293" s="95"/>
      <c r="D293" s="95"/>
      <c r="E293" s="96"/>
      <c r="F293" s="96"/>
      <c r="G293" s="95"/>
      <c r="H293" s="115"/>
      <c r="I293" s="112"/>
      <c r="J293" s="112"/>
      <c r="K293" s="113" t="str">
        <f t="shared" si="32"/>
        <v/>
      </c>
      <c r="L293" s="112"/>
      <c r="M293" s="113" t="str">
        <f t="shared" si="33"/>
        <v/>
      </c>
      <c r="N293" s="112"/>
      <c r="O293" s="112">
        <v>0</v>
      </c>
      <c r="P293" s="116">
        <v>0</v>
      </c>
      <c r="Q293" s="126" t="str">
        <f t="shared" si="34"/>
        <v/>
      </c>
      <c r="R293" s="114">
        <f t="shared" si="36"/>
        <v>0</v>
      </c>
      <c r="S293" s="126" t="str">
        <f t="shared" si="31"/>
        <v/>
      </c>
      <c r="T293" s="126" t="str">
        <f t="shared" si="37"/>
        <v/>
      </c>
      <c r="U293" s="97"/>
    </row>
    <row r="294" spans="2:21" s="4" customFormat="1" ht="15.75" x14ac:dyDescent="0.25">
      <c r="B294" s="95">
        <f t="shared" si="35"/>
        <v>290</v>
      </c>
      <c r="C294" s="95"/>
      <c r="D294" s="95"/>
      <c r="E294" s="96"/>
      <c r="F294" s="96"/>
      <c r="G294" s="95"/>
      <c r="H294" s="115"/>
      <c r="I294" s="112"/>
      <c r="J294" s="112"/>
      <c r="K294" s="113" t="str">
        <f t="shared" si="32"/>
        <v/>
      </c>
      <c r="L294" s="112"/>
      <c r="M294" s="113" t="str">
        <f t="shared" si="33"/>
        <v/>
      </c>
      <c r="N294" s="112"/>
      <c r="O294" s="112">
        <v>0</v>
      </c>
      <c r="P294" s="116">
        <v>0</v>
      </c>
      <c r="Q294" s="126" t="str">
        <f t="shared" si="34"/>
        <v/>
      </c>
      <c r="R294" s="114">
        <f t="shared" si="36"/>
        <v>0</v>
      </c>
      <c r="S294" s="126" t="str">
        <f t="shared" si="31"/>
        <v/>
      </c>
      <c r="T294" s="126" t="str">
        <f t="shared" si="37"/>
        <v/>
      </c>
      <c r="U294" s="97"/>
    </row>
    <row r="295" spans="2:21" s="4" customFormat="1" ht="15.75" x14ac:dyDescent="0.25">
      <c r="B295" s="95">
        <f t="shared" si="35"/>
        <v>291</v>
      </c>
      <c r="C295" s="95"/>
      <c r="D295" s="95"/>
      <c r="E295" s="96"/>
      <c r="F295" s="96"/>
      <c r="G295" s="95"/>
      <c r="H295" s="115"/>
      <c r="I295" s="112"/>
      <c r="J295" s="112"/>
      <c r="K295" s="113" t="str">
        <f t="shared" si="32"/>
        <v/>
      </c>
      <c r="L295" s="112"/>
      <c r="M295" s="113" t="str">
        <f t="shared" si="33"/>
        <v/>
      </c>
      <c r="N295" s="112"/>
      <c r="O295" s="112">
        <v>0</v>
      </c>
      <c r="P295" s="116">
        <v>0</v>
      </c>
      <c r="Q295" s="126" t="str">
        <f t="shared" si="34"/>
        <v/>
      </c>
      <c r="R295" s="114">
        <f t="shared" si="36"/>
        <v>0</v>
      </c>
      <c r="S295" s="126" t="str">
        <f t="shared" si="31"/>
        <v/>
      </c>
      <c r="T295" s="126" t="str">
        <f t="shared" si="37"/>
        <v/>
      </c>
      <c r="U295" s="97"/>
    </row>
    <row r="296" spans="2:21" s="4" customFormat="1" ht="15.75" x14ac:dyDescent="0.25">
      <c r="B296" s="95">
        <f t="shared" si="35"/>
        <v>292</v>
      </c>
      <c r="C296" s="95"/>
      <c r="D296" s="95"/>
      <c r="E296" s="96"/>
      <c r="F296" s="96"/>
      <c r="G296" s="95"/>
      <c r="H296" s="115"/>
      <c r="I296" s="112"/>
      <c r="J296" s="112"/>
      <c r="K296" s="113" t="str">
        <f t="shared" si="32"/>
        <v/>
      </c>
      <c r="L296" s="112"/>
      <c r="M296" s="113" t="str">
        <f t="shared" si="33"/>
        <v/>
      </c>
      <c r="N296" s="112"/>
      <c r="O296" s="112">
        <v>0</v>
      </c>
      <c r="P296" s="116">
        <v>0</v>
      </c>
      <c r="Q296" s="126" t="str">
        <f t="shared" si="34"/>
        <v/>
      </c>
      <c r="R296" s="114">
        <f t="shared" si="36"/>
        <v>0</v>
      </c>
      <c r="S296" s="126" t="str">
        <f t="shared" si="31"/>
        <v/>
      </c>
      <c r="T296" s="126" t="str">
        <f t="shared" si="37"/>
        <v/>
      </c>
      <c r="U296" s="97"/>
    </row>
    <row r="297" spans="2:21" s="4" customFormat="1" ht="15.75" x14ac:dyDescent="0.25">
      <c r="B297" s="95">
        <f t="shared" si="35"/>
        <v>293</v>
      </c>
      <c r="C297" s="95"/>
      <c r="D297" s="95"/>
      <c r="E297" s="96"/>
      <c r="F297" s="96"/>
      <c r="G297" s="95"/>
      <c r="H297" s="115"/>
      <c r="I297" s="112"/>
      <c r="J297" s="112"/>
      <c r="K297" s="113" t="str">
        <f t="shared" si="32"/>
        <v/>
      </c>
      <c r="L297" s="112"/>
      <c r="M297" s="113" t="str">
        <f t="shared" si="33"/>
        <v/>
      </c>
      <c r="N297" s="112"/>
      <c r="O297" s="112">
        <v>0</v>
      </c>
      <c r="P297" s="116">
        <v>0</v>
      </c>
      <c r="Q297" s="126" t="str">
        <f t="shared" si="34"/>
        <v/>
      </c>
      <c r="R297" s="114">
        <f t="shared" si="36"/>
        <v>0</v>
      </c>
      <c r="S297" s="126" t="str">
        <f t="shared" si="31"/>
        <v/>
      </c>
      <c r="T297" s="126" t="str">
        <f t="shared" si="37"/>
        <v/>
      </c>
      <c r="U297" s="97"/>
    </row>
    <row r="298" spans="2:21" s="4" customFormat="1" ht="15.75" x14ac:dyDescent="0.25">
      <c r="B298" s="95">
        <f t="shared" si="35"/>
        <v>294</v>
      </c>
      <c r="C298" s="95"/>
      <c r="D298" s="95"/>
      <c r="E298" s="96"/>
      <c r="F298" s="96"/>
      <c r="G298" s="95"/>
      <c r="H298" s="115"/>
      <c r="I298" s="112"/>
      <c r="J298" s="112"/>
      <c r="K298" s="113" t="str">
        <f t="shared" si="32"/>
        <v/>
      </c>
      <c r="L298" s="112"/>
      <c r="M298" s="113" t="str">
        <f t="shared" si="33"/>
        <v/>
      </c>
      <c r="N298" s="112"/>
      <c r="O298" s="112">
        <v>0</v>
      </c>
      <c r="P298" s="116">
        <v>0</v>
      </c>
      <c r="Q298" s="126" t="str">
        <f t="shared" si="34"/>
        <v/>
      </c>
      <c r="R298" s="114">
        <f t="shared" si="36"/>
        <v>0</v>
      </c>
      <c r="S298" s="126" t="str">
        <f t="shared" si="31"/>
        <v/>
      </c>
      <c r="T298" s="126" t="str">
        <f t="shared" si="37"/>
        <v/>
      </c>
      <c r="U298" s="97"/>
    </row>
    <row r="299" spans="2:21" s="4" customFormat="1" ht="15.75" x14ac:dyDescent="0.25">
      <c r="B299" s="95">
        <f t="shared" si="35"/>
        <v>295</v>
      </c>
      <c r="C299" s="95"/>
      <c r="D299" s="95"/>
      <c r="E299" s="96"/>
      <c r="F299" s="96"/>
      <c r="G299" s="95"/>
      <c r="H299" s="115"/>
      <c r="I299" s="112"/>
      <c r="J299" s="112"/>
      <c r="K299" s="113" t="str">
        <f t="shared" si="32"/>
        <v/>
      </c>
      <c r="L299" s="112"/>
      <c r="M299" s="113" t="str">
        <f t="shared" si="33"/>
        <v/>
      </c>
      <c r="N299" s="112"/>
      <c r="O299" s="112">
        <v>0</v>
      </c>
      <c r="P299" s="116">
        <v>0</v>
      </c>
      <c r="Q299" s="126" t="str">
        <f t="shared" si="34"/>
        <v/>
      </c>
      <c r="R299" s="114">
        <f t="shared" si="36"/>
        <v>0</v>
      </c>
      <c r="S299" s="126" t="str">
        <f t="shared" si="31"/>
        <v/>
      </c>
      <c r="T299" s="126" t="str">
        <f t="shared" si="37"/>
        <v/>
      </c>
      <c r="U299" s="97"/>
    </row>
    <row r="300" spans="2:21" s="4" customFormat="1" ht="15.75" x14ac:dyDescent="0.25">
      <c r="B300" s="95">
        <f t="shared" si="35"/>
        <v>296</v>
      </c>
      <c r="C300" s="95"/>
      <c r="D300" s="95"/>
      <c r="E300" s="96"/>
      <c r="F300" s="96"/>
      <c r="G300" s="95"/>
      <c r="H300" s="115"/>
      <c r="I300" s="112"/>
      <c r="J300" s="112"/>
      <c r="K300" s="113" t="str">
        <f t="shared" si="32"/>
        <v/>
      </c>
      <c r="L300" s="112"/>
      <c r="M300" s="113" t="str">
        <f t="shared" si="33"/>
        <v/>
      </c>
      <c r="N300" s="112"/>
      <c r="O300" s="112">
        <v>0</v>
      </c>
      <c r="P300" s="116">
        <v>0</v>
      </c>
      <c r="Q300" s="126" t="str">
        <f t="shared" si="34"/>
        <v/>
      </c>
      <c r="R300" s="114">
        <f t="shared" si="36"/>
        <v>0</v>
      </c>
      <c r="S300" s="126" t="str">
        <f t="shared" si="31"/>
        <v/>
      </c>
      <c r="T300" s="126" t="str">
        <f t="shared" si="37"/>
        <v/>
      </c>
      <c r="U300" s="97"/>
    </row>
    <row r="301" spans="2:21" s="4" customFormat="1" ht="15.75" x14ac:dyDescent="0.25">
      <c r="B301" s="95">
        <f t="shared" si="35"/>
        <v>297</v>
      </c>
      <c r="C301" s="95"/>
      <c r="D301" s="95"/>
      <c r="E301" s="96"/>
      <c r="F301" s="96"/>
      <c r="G301" s="95"/>
      <c r="H301" s="115"/>
      <c r="I301" s="112"/>
      <c r="J301" s="112"/>
      <c r="K301" s="113" t="str">
        <f t="shared" si="32"/>
        <v/>
      </c>
      <c r="L301" s="112"/>
      <c r="M301" s="113" t="str">
        <f t="shared" si="33"/>
        <v/>
      </c>
      <c r="N301" s="112"/>
      <c r="O301" s="112">
        <v>0</v>
      </c>
      <c r="P301" s="116">
        <v>0</v>
      </c>
      <c r="Q301" s="126" t="str">
        <f t="shared" si="34"/>
        <v/>
      </c>
      <c r="R301" s="114">
        <f t="shared" si="36"/>
        <v>0</v>
      </c>
      <c r="S301" s="126" t="str">
        <f t="shared" si="31"/>
        <v/>
      </c>
      <c r="T301" s="126" t="str">
        <f t="shared" si="37"/>
        <v/>
      </c>
      <c r="U301" s="97"/>
    </row>
    <row r="302" spans="2:21" s="4" customFormat="1" ht="15.75" x14ac:dyDescent="0.25">
      <c r="B302" s="95">
        <f t="shared" si="35"/>
        <v>298</v>
      </c>
      <c r="C302" s="95"/>
      <c r="D302" s="95"/>
      <c r="E302" s="96"/>
      <c r="F302" s="96"/>
      <c r="G302" s="95"/>
      <c r="H302" s="115"/>
      <c r="I302" s="112"/>
      <c r="J302" s="112"/>
      <c r="K302" s="113" t="str">
        <f t="shared" si="32"/>
        <v/>
      </c>
      <c r="L302" s="112"/>
      <c r="M302" s="113" t="str">
        <f t="shared" si="33"/>
        <v/>
      </c>
      <c r="N302" s="112"/>
      <c r="O302" s="112">
        <v>0</v>
      </c>
      <c r="P302" s="116">
        <v>0</v>
      </c>
      <c r="Q302" s="126" t="str">
        <f t="shared" si="34"/>
        <v/>
      </c>
      <c r="R302" s="114">
        <f t="shared" si="36"/>
        <v>0</v>
      </c>
      <c r="S302" s="126" t="str">
        <f t="shared" si="31"/>
        <v/>
      </c>
      <c r="T302" s="126" t="str">
        <f t="shared" si="37"/>
        <v/>
      </c>
      <c r="U302" s="97"/>
    </row>
    <row r="303" spans="2:21" s="4" customFormat="1" ht="15.75" x14ac:dyDescent="0.25">
      <c r="B303" s="95">
        <f t="shared" si="35"/>
        <v>299</v>
      </c>
      <c r="C303" s="95"/>
      <c r="D303" s="95"/>
      <c r="E303" s="96"/>
      <c r="F303" s="96"/>
      <c r="G303" s="95"/>
      <c r="H303" s="115"/>
      <c r="I303" s="112"/>
      <c r="J303" s="112"/>
      <c r="K303" s="113" t="str">
        <f t="shared" si="32"/>
        <v/>
      </c>
      <c r="L303" s="112"/>
      <c r="M303" s="113" t="str">
        <f t="shared" si="33"/>
        <v/>
      </c>
      <c r="N303" s="112"/>
      <c r="O303" s="112">
        <v>0</v>
      </c>
      <c r="P303" s="116">
        <v>0</v>
      </c>
      <c r="Q303" s="126" t="str">
        <f t="shared" si="34"/>
        <v/>
      </c>
      <c r="R303" s="114">
        <f t="shared" si="36"/>
        <v>0</v>
      </c>
      <c r="S303" s="126" t="str">
        <f t="shared" si="31"/>
        <v/>
      </c>
      <c r="T303" s="126" t="str">
        <f t="shared" si="37"/>
        <v/>
      </c>
      <c r="U303" s="97"/>
    </row>
    <row r="304" spans="2:21" s="4" customFormat="1" ht="15.75" x14ac:dyDescent="0.25">
      <c r="B304" s="95">
        <f t="shared" si="35"/>
        <v>300</v>
      </c>
      <c r="C304" s="95"/>
      <c r="D304" s="95"/>
      <c r="E304" s="96"/>
      <c r="F304" s="96"/>
      <c r="G304" s="95"/>
      <c r="H304" s="115"/>
      <c r="I304" s="112"/>
      <c r="J304" s="112"/>
      <c r="K304" s="113" t="str">
        <f t="shared" si="32"/>
        <v/>
      </c>
      <c r="L304" s="112"/>
      <c r="M304" s="113" t="str">
        <f t="shared" si="33"/>
        <v/>
      </c>
      <c r="N304" s="112"/>
      <c r="O304" s="112">
        <v>0</v>
      </c>
      <c r="P304" s="116">
        <v>0</v>
      </c>
      <c r="Q304" s="126" t="str">
        <f t="shared" si="34"/>
        <v/>
      </c>
      <c r="R304" s="114">
        <f t="shared" si="36"/>
        <v>0</v>
      </c>
      <c r="S304" s="126" t="str">
        <f t="shared" si="31"/>
        <v/>
      </c>
      <c r="T304" s="126" t="str">
        <f t="shared" si="37"/>
        <v/>
      </c>
      <c r="U304" s="97"/>
    </row>
    <row r="305" spans="2:21" s="4" customFormat="1" ht="15.75" x14ac:dyDescent="0.25">
      <c r="B305" s="95">
        <f t="shared" si="35"/>
        <v>301</v>
      </c>
      <c r="C305" s="95"/>
      <c r="D305" s="95"/>
      <c r="E305" s="96"/>
      <c r="F305" s="96"/>
      <c r="G305" s="95"/>
      <c r="H305" s="115"/>
      <c r="I305" s="112"/>
      <c r="J305" s="112"/>
      <c r="K305" s="113" t="str">
        <f t="shared" si="32"/>
        <v/>
      </c>
      <c r="L305" s="112"/>
      <c r="M305" s="113" t="str">
        <f t="shared" si="33"/>
        <v/>
      </c>
      <c r="N305" s="112"/>
      <c r="O305" s="112">
        <v>0</v>
      </c>
      <c r="P305" s="116">
        <v>0</v>
      </c>
      <c r="Q305" s="126" t="str">
        <f t="shared" si="34"/>
        <v/>
      </c>
      <c r="R305" s="114">
        <f t="shared" si="36"/>
        <v>0</v>
      </c>
      <c r="S305" s="126" t="str">
        <f t="shared" si="31"/>
        <v/>
      </c>
      <c r="T305" s="126" t="str">
        <f t="shared" si="37"/>
        <v/>
      </c>
      <c r="U305" s="97"/>
    </row>
    <row r="306" spans="2:21" s="4" customFormat="1" ht="15.75" x14ac:dyDescent="0.25">
      <c r="B306" s="95">
        <f t="shared" si="35"/>
        <v>302</v>
      </c>
      <c r="C306" s="95"/>
      <c r="D306" s="95"/>
      <c r="E306" s="96"/>
      <c r="F306" s="96"/>
      <c r="G306" s="95"/>
      <c r="H306" s="115"/>
      <c r="I306" s="112"/>
      <c r="J306" s="112"/>
      <c r="K306" s="113" t="str">
        <f t="shared" si="32"/>
        <v/>
      </c>
      <c r="L306" s="112"/>
      <c r="M306" s="113" t="str">
        <f t="shared" si="33"/>
        <v/>
      </c>
      <c r="N306" s="112"/>
      <c r="O306" s="112">
        <v>0</v>
      </c>
      <c r="P306" s="116">
        <v>0</v>
      </c>
      <c r="Q306" s="126" t="str">
        <f t="shared" si="34"/>
        <v/>
      </c>
      <c r="R306" s="114">
        <f t="shared" si="36"/>
        <v>0</v>
      </c>
      <c r="S306" s="126" t="str">
        <f t="shared" si="31"/>
        <v/>
      </c>
      <c r="T306" s="126" t="str">
        <f t="shared" si="37"/>
        <v/>
      </c>
      <c r="U306" s="97"/>
    </row>
    <row r="307" spans="2:21" s="4" customFormat="1" ht="15.75" x14ac:dyDescent="0.25">
      <c r="B307" s="95">
        <f t="shared" si="35"/>
        <v>303</v>
      </c>
      <c r="C307" s="95"/>
      <c r="D307" s="95"/>
      <c r="E307" s="96"/>
      <c r="F307" s="96"/>
      <c r="G307" s="95"/>
      <c r="H307" s="115"/>
      <c r="I307" s="112"/>
      <c r="J307" s="112"/>
      <c r="K307" s="113" t="str">
        <f t="shared" si="32"/>
        <v/>
      </c>
      <c r="L307" s="112"/>
      <c r="M307" s="113" t="str">
        <f t="shared" si="33"/>
        <v/>
      </c>
      <c r="N307" s="112"/>
      <c r="O307" s="112">
        <v>0</v>
      </c>
      <c r="P307" s="116">
        <v>0</v>
      </c>
      <c r="Q307" s="126" t="str">
        <f t="shared" si="34"/>
        <v/>
      </c>
      <c r="R307" s="114">
        <f t="shared" si="36"/>
        <v>0</v>
      </c>
      <c r="S307" s="126" t="str">
        <f t="shared" si="31"/>
        <v/>
      </c>
      <c r="T307" s="126" t="str">
        <f t="shared" si="37"/>
        <v/>
      </c>
      <c r="U307" s="97"/>
    </row>
    <row r="308" spans="2:21" s="4" customFormat="1" ht="15.75" x14ac:dyDescent="0.25">
      <c r="B308" s="95">
        <f t="shared" si="35"/>
        <v>304</v>
      </c>
      <c r="C308" s="95"/>
      <c r="D308" s="95"/>
      <c r="E308" s="96"/>
      <c r="F308" s="96"/>
      <c r="G308" s="95"/>
      <c r="H308" s="115"/>
      <c r="I308" s="112"/>
      <c r="J308" s="112"/>
      <c r="K308" s="113" t="str">
        <f t="shared" si="32"/>
        <v/>
      </c>
      <c r="L308" s="112"/>
      <c r="M308" s="113" t="str">
        <f t="shared" si="33"/>
        <v/>
      </c>
      <c r="N308" s="112"/>
      <c r="O308" s="112">
        <v>0</v>
      </c>
      <c r="P308" s="116">
        <v>0</v>
      </c>
      <c r="Q308" s="126" t="str">
        <f t="shared" si="34"/>
        <v/>
      </c>
      <c r="R308" s="114">
        <f t="shared" si="36"/>
        <v>0</v>
      </c>
      <c r="S308" s="126" t="str">
        <f t="shared" si="31"/>
        <v/>
      </c>
      <c r="T308" s="126" t="str">
        <f t="shared" si="37"/>
        <v/>
      </c>
      <c r="U308" s="97"/>
    </row>
    <row r="309" spans="2:21" s="4" customFormat="1" ht="15.75" x14ac:dyDescent="0.25">
      <c r="B309" s="95">
        <f t="shared" si="35"/>
        <v>305</v>
      </c>
      <c r="C309" s="95"/>
      <c r="D309" s="95"/>
      <c r="E309" s="96"/>
      <c r="F309" s="96"/>
      <c r="G309" s="95"/>
      <c r="H309" s="115"/>
      <c r="I309" s="112"/>
      <c r="J309" s="112"/>
      <c r="K309" s="113" t="str">
        <f t="shared" si="32"/>
        <v/>
      </c>
      <c r="L309" s="112"/>
      <c r="M309" s="113" t="str">
        <f t="shared" si="33"/>
        <v/>
      </c>
      <c r="N309" s="112"/>
      <c r="O309" s="112">
        <v>0</v>
      </c>
      <c r="P309" s="116">
        <v>0</v>
      </c>
      <c r="Q309" s="126" t="str">
        <f t="shared" si="34"/>
        <v/>
      </c>
      <c r="R309" s="114">
        <f t="shared" si="36"/>
        <v>0</v>
      </c>
      <c r="S309" s="126" t="str">
        <f t="shared" si="31"/>
        <v/>
      </c>
      <c r="T309" s="126" t="str">
        <f t="shared" si="37"/>
        <v/>
      </c>
      <c r="U309" s="97"/>
    </row>
    <row r="310" spans="2:21" s="4" customFormat="1" ht="15.75" x14ac:dyDescent="0.25">
      <c r="B310" s="95">
        <f t="shared" si="35"/>
        <v>306</v>
      </c>
      <c r="C310" s="95"/>
      <c r="D310" s="95"/>
      <c r="E310" s="96"/>
      <c r="F310" s="96"/>
      <c r="G310" s="95"/>
      <c r="H310" s="115"/>
      <c r="I310" s="112"/>
      <c r="J310" s="112"/>
      <c r="K310" s="113" t="str">
        <f t="shared" si="32"/>
        <v/>
      </c>
      <c r="L310" s="112"/>
      <c r="M310" s="113" t="str">
        <f t="shared" si="33"/>
        <v/>
      </c>
      <c r="N310" s="112"/>
      <c r="O310" s="112">
        <v>0</v>
      </c>
      <c r="P310" s="116">
        <v>0</v>
      </c>
      <c r="Q310" s="126" t="str">
        <f t="shared" si="34"/>
        <v/>
      </c>
      <c r="R310" s="114">
        <f t="shared" si="36"/>
        <v>0</v>
      </c>
      <c r="S310" s="126" t="str">
        <f t="shared" si="31"/>
        <v/>
      </c>
      <c r="T310" s="126" t="str">
        <f t="shared" si="37"/>
        <v/>
      </c>
      <c r="U310" s="97"/>
    </row>
    <row r="311" spans="2:21" s="4" customFormat="1" ht="15.75" x14ac:dyDescent="0.25">
      <c r="B311" s="95">
        <f t="shared" si="35"/>
        <v>307</v>
      </c>
      <c r="C311" s="95"/>
      <c r="D311" s="95"/>
      <c r="E311" s="96"/>
      <c r="F311" s="96"/>
      <c r="G311" s="95"/>
      <c r="H311" s="115"/>
      <c r="I311" s="112"/>
      <c r="J311" s="112"/>
      <c r="K311" s="113" t="str">
        <f t="shared" si="32"/>
        <v/>
      </c>
      <c r="L311" s="112"/>
      <c r="M311" s="113" t="str">
        <f t="shared" si="33"/>
        <v/>
      </c>
      <c r="N311" s="112"/>
      <c r="O311" s="112">
        <v>0</v>
      </c>
      <c r="P311" s="116">
        <v>0</v>
      </c>
      <c r="Q311" s="126" t="str">
        <f t="shared" si="34"/>
        <v/>
      </c>
      <c r="R311" s="114">
        <f t="shared" si="36"/>
        <v>0</v>
      </c>
      <c r="S311" s="126" t="str">
        <f t="shared" si="31"/>
        <v/>
      </c>
      <c r="T311" s="126" t="str">
        <f t="shared" si="37"/>
        <v/>
      </c>
      <c r="U311" s="97"/>
    </row>
    <row r="312" spans="2:21" s="4" customFormat="1" ht="15.75" x14ac:dyDescent="0.25">
      <c r="B312" s="95">
        <f t="shared" si="35"/>
        <v>308</v>
      </c>
      <c r="C312" s="95"/>
      <c r="D312" s="95"/>
      <c r="E312" s="96"/>
      <c r="F312" s="96"/>
      <c r="G312" s="95"/>
      <c r="H312" s="115"/>
      <c r="I312" s="112"/>
      <c r="J312" s="112"/>
      <c r="K312" s="113" t="str">
        <f t="shared" si="32"/>
        <v/>
      </c>
      <c r="L312" s="112"/>
      <c r="M312" s="113" t="str">
        <f t="shared" si="33"/>
        <v/>
      </c>
      <c r="N312" s="112"/>
      <c r="O312" s="112">
        <v>0</v>
      </c>
      <c r="P312" s="116">
        <v>0</v>
      </c>
      <c r="Q312" s="126" t="str">
        <f t="shared" si="34"/>
        <v/>
      </c>
      <c r="R312" s="114">
        <f t="shared" si="36"/>
        <v>0</v>
      </c>
      <c r="S312" s="126" t="str">
        <f t="shared" si="31"/>
        <v/>
      </c>
      <c r="T312" s="126" t="str">
        <f t="shared" si="37"/>
        <v/>
      </c>
      <c r="U312" s="97"/>
    </row>
    <row r="313" spans="2:21" s="4" customFormat="1" ht="15.75" x14ac:dyDescent="0.25">
      <c r="B313" s="95">
        <f t="shared" si="35"/>
        <v>309</v>
      </c>
      <c r="C313" s="95"/>
      <c r="D313" s="95"/>
      <c r="E313" s="96"/>
      <c r="F313" s="96"/>
      <c r="G313" s="95"/>
      <c r="H313" s="115"/>
      <c r="I313" s="112"/>
      <c r="J313" s="112"/>
      <c r="K313" s="113" t="str">
        <f t="shared" si="32"/>
        <v/>
      </c>
      <c r="L313" s="112"/>
      <c r="M313" s="113" t="str">
        <f t="shared" si="33"/>
        <v/>
      </c>
      <c r="N313" s="112"/>
      <c r="O313" s="112">
        <v>0</v>
      </c>
      <c r="P313" s="116">
        <v>0</v>
      </c>
      <c r="Q313" s="126" t="str">
        <f t="shared" si="34"/>
        <v/>
      </c>
      <c r="R313" s="114">
        <f t="shared" si="36"/>
        <v>0</v>
      </c>
      <c r="S313" s="126" t="str">
        <f t="shared" si="31"/>
        <v/>
      </c>
      <c r="T313" s="126" t="str">
        <f t="shared" si="37"/>
        <v/>
      </c>
      <c r="U313" s="97"/>
    </row>
    <row r="314" spans="2:21" s="4" customFormat="1" ht="15.75" x14ac:dyDescent="0.25">
      <c r="B314" s="95">
        <f t="shared" si="35"/>
        <v>310</v>
      </c>
      <c r="C314" s="95"/>
      <c r="D314" s="95"/>
      <c r="E314" s="96"/>
      <c r="F314" s="96"/>
      <c r="G314" s="95"/>
      <c r="H314" s="115"/>
      <c r="I314" s="112"/>
      <c r="J314" s="112"/>
      <c r="K314" s="113" t="str">
        <f t="shared" si="32"/>
        <v/>
      </c>
      <c r="L314" s="112"/>
      <c r="M314" s="113" t="str">
        <f t="shared" si="33"/>
        <v/>
      </c>
      <c r="N314" s="112"/>
      <c r="O314" s="112">
        <v>0</v>
      </c>
      <c r="P314" s="116">
        <v>0</v>
      </c>
      <c r="Q314" s="126" t="str">
        <f t="shared" si="34"/>
        <v/>
      </c>
      <c r="R314" s="114">
        <f t="shared" si="36"/>
        <v>0</v>
      </c>
      <c r="S314" s="126" t="str">
        <f t="shared" si="31"/>
        <v/>
      </c>
      <c r="T314" s="126" t="str">
        <f t="shared" si="37"/>
        <v/>
      </c>
      <c r="U314" s="97"/>
    </row>
    <row r="315" spans="2:21" s="4" customFormat="1" ht="15.75" x14ac:dyDescent="0.25">
      <c r="B315" s="95">
        <f t="shared" si="35"/>
        <v>311</v>
      </c>
      <c r="C315" s="95"/>
      <c r="D315" s="95"/>
      <c r="E315" s="96"/>
      <c r="F315" s="96"/>
      <c r="G315" s="95"/>
      <c r="H315" s="115"/>
      <c r="I315" s="112"/>
      <c r="J315" s="112"/>
      <c r="K315" s="113" t="str">
        <f t="shared" si="32"/>
        <v/>
      </c>
      <c r="L315" s="112"/>
      <c r="M315" s="113" t="str">
        <f t="shared" si="33"/>
        <v/>
      </c>
      <c r="N315" s="112"/>
      <c r="O315" s="112">
        <v>0</v>
      </c>
      <c r="P315" s="116">
        <v>0</v>
      </c>
      <c r="Q315" s="126" t="str">
        <f t="shared" si="34"/>
        <v/>
      </c>
      <c r="R315" s="114">
        <f t="shared" si="36"/>
        <v>0</v>
      </c>
      <c r="S315" s="126" t="str">
        <f t="shared" si="31"/>
        <v/>
      </c>
      <c r="T315" s="126" t="str">
        <f t="shared" si="37"/>
        <v/>
      </c>
      <c r="U315" s="97"/>
    </row>
    <row r="316" spans="2:21" s="4" customFormat="1" ht="15.75" x14ac:dyDescent="0.25">
      <c r="B316" s="95">
        <f t="shared" si="35"/>
        <v>312</v>
      </c>
      <c r="C316" s="95"/>
      <c r="D316" s="95"/>
      <c r="E316" s="96"/>
      <c r="F316" s="96"/>
      <c r="G316" s="95"/>
      <c r="H316" s="115"/>
      <c r="I316" s="112"/>
      <c r="J316" s="112"/>
      <c r="K316" s="113" t="str">
        <f t="shared" si="32"/>
        <v/>
      </c>
      <c r="L316" s="112"/>
      <c r="M316" s="113" t="str">
        <f t="shared" si="33"/>
        <v/>
      </c>
      <c r="N316" s="112"/>
      <c r="O316" s="112">
        <v>0</v>
      </c>
      <c r="P316" s="116">
        <v>0</v>
      </c>
      <c r="Q316" s="126" t="str">
        <f t="shared" si="34"/>
        <v/>
      </c>
      <c r="R316" s="114">
        <f t="shared" si="36"/>
        <v>0</v>
      </c>
      <c r="S316" s="126" t="str">
        <f t="shared" si="31"/>
        <v/>
      </c>
      <c r="T316" s="126" t="str">
        <f t="shared" si="37"/>
        <v/>
      </c>
      <c r="U316" s="97"/>
    </row>
    <row r="317" spans="2:21" s="4" customFormat="1" ht="15.75" x14ac:dyDescent="0.25">
      <c r="B317" s="95">
        <f t="shared" si="35"/>
        <v>313</v>
      </c>
      <c r="C317" s="95"/>
      <c r="D317" s="95"/>
      <c r="E317" s="96"/>
      <c r="F317" s="96"/>
      <c r="G317" s="95"/>
      <c r="H317" s="115"/>
      <c r="I317" s="112"/>
      <c r="J317" s="112"/>
      <c r="K317" s="113" t="str">
        <f t="shared" si="32"/>
        <v/>
      </c>
      <c r="L317" s="112"/>
      <c r="M317" s="113" t="str">
        <f t="shared" si="33"/>
        <v/>
      </c>
      <c r="N317" s="112"/>
      <c r="O317" s="112">
        <v>0</v>
      </c>
      <c r="P317" s="116">
        <v>0</v>
      </c>
      <c r="Q317" s="126" t="str">
        <f t="shared" si="34"/>
        <v/>
      </c>
      <c r="R317" s="114">
        <f t="shared" si="36"/>
        <v>0</v>
      </c>
      <c r="S317" s="126" t="str">
        <f t="shared" si="31"/>
        <v/>
      </c>
      <c r="T317" s="126" t="str">
        <f t="shared" si="37"/>
        <v/>
      </c>
      <c r="U317" s="97"/>
    </row>
    <row r="318" spans="2:21" s="4" customFormat="1" ht="15.75" x14ac:dyDescent="0.25">
      <c r="B318" s="95">
        <f t="shared" si="35"/>
        <v>314</v>
      </c>
      <c r="C318" s="95"/>
      <c r="D318" s="95"/>
      <c r="E318" s="96"/>
      <c r="F318" s="96"/>
      <c r="G318" s="95"/>
      <c r="H318" s="115"/>
      <c r="I318" s="112"/>
      <c r="J318" s="112"/>
      <c r="K318" s="113" t="str">
        <f t="shared" si="32"/>
        <v/>
      </c>
      <c r="L318" s="112"/>
      <c r="M318" s="113" t="str">
        <f t="shared" si="33"/>
        <v/>
      </c>
      <c r="N318" s="112"/>
      <c r="O318" s="112">
        <v>0</v>
      </c>
      <c r="P318" s="116">
        <v>0</v>
      </c>
      <c r="Q318" s="126" t="str">
        <f t="shared" si="34"/>
        <v/>
      </c>
      <c r="R318" s="114">
        <f t="shared" si="36"/>
        <v>0</v>
      </c>
      <c r="S318" s="126" t="str">
        <f t="shared" ref="S318:S381" si="38">IF(R318,R318/I318,"")</f>
        <v/>
      </c>
      <c r="T318" s="126" t="str">
        <f t="shared" si="37"/>
        <v/>
      </c>
      <c r="U318" s="97"/>
    </row>
    <row r="319" spans="2:21" s="4" customFormat="1" ht="15.75" x14ac:dyDescent="0.25">
      <c r="B319" s="95">
        <f t="shared" si="35"/>
        <v>315</v>
      </c>
      <c r="C319" s="95"/>
      <c r="D319" s="95"/>
      <c r="E319" s="96"/>
      <c r="F319" s="96"/>
      <c r="G319" s="95"/>
      <c r="H319" s="115"/>
      <c r="I319" s="112"/>
      <c r="J319" s="112"/>
      <c r="K319" s="113" t="str">
        <f t="shared" si="32"/>
        <v/>
      </c>
      <c r="L319" s="112"/>
      <c r="M319" s="113" t="str">
        <f t="shared" si="33"/>
        <v/>
      </c>
      <c r="N319" s="112"/>
      <c r="O319" s="112">
        <v>0</v>
      </c>
      <c r="P319" s="116">
        <v>0</v>
      </c>
      <c r="Q319" s="126" t="str">
        <f t="shared" si="34"/>
        <v/>
      </c>
      <c r="R319" s="114">
        <f t="shared" si="36"/>
        <v>0</v>
      </c>
      <c r="S319" s="126" t="str">
        <f t="shared" si="38"/>
        <v/>
      </c>
      <c r="T319" s="126" t="str">
        <f t="shared" si="37"/>
        <v/>
      </c>
      <c r="U319" s="97"/>
    </row>
    <row r="320" spans="2:21" s="4" customFormat="1" ht="15.75" x14ac:dyDescent="0.25">
      <c r="B320" s="95">
        <f t="shared" si="35"/>
        <v>316</v>
      </c>
      <c r="C320" s="95"/>
      <c r="D320" s="95"/>
      <c r="E320" s="96"/>
      <c r="F320" s="96"/>
      <c r="G320" s="95"/>
      <c r="H320" s="115"/>
      <c r="I320" s="112"/>
      <c r="J320" s="112"/>
      <c r="K320" s="113" t="str">
        <f t="shared" si="32"/>
        <v/>
      </c>
      <c r="L320" s="112"/>
      <c r="M320" s="113" t="str">
        <f t="shared" si="33"/>
        <v/>
      </c>
      <c r="N320" s="112"/>
      <c r="O320" s="112">
        <v>0</v>
      </c>
      <c r="P320" s="116">
        <v>0</v>
      </c>
      <c r="Q320" s="126" t="str">
        <f t="shared" si="34"/>
        <v/>
      </c>
      <c r="R320" s="114">
        <f t="shared" si="36"/>
        <v>0</v>
      </c>
      <c r="S320" s="126" t="str">
        <f t="shared" si="38"/>
        <v/>
      </c>
      <c r="T320" s="126" t="str">
        <f t="shared" si="37"/>
        <v/>
      </c>
      <c r="U320" s="97"/>
    </row>
    <row r="321" spans="2:23" s="4" customFormat="1" ht="15.75" x14ac:dyDescent="0.25">
      <c r="B321" s="95">
        <f t="shared" si="35"/>
        <v>317</v>
      </c>
      <c r="C321" s="95"/>
      <c r="D321" s="95"/>
      <c r="E321" s="96"/>
      <c r="F321" s="96"/>
      <c r="G321" s="95"/>
      <c r="H321" s="115"/>
      <c r="I321" s="112"/>
      <c r="J321" s="112"/>
      <c r="K321" s="113" t="str">
        <f t="shared" si="32"/>
        <v/>
      </c>
      <c r="L321" s="112"/>
      <c r="M321" s="113" t="str">
        <f t="shared" si="33"/>
        <v/>
      </c>
      <c r="N321" s="112"/>
      <c r="O321" s="112">
        <v>0</v>
      </c>
      <c r="P321" s="116">
        <v>0</v>
      </c>
      <c r="Q321" s="126" t="str">
        <f t="shared" si="34"/>
        <v/>
      </c>
      <c r="R321" s="114">
        <f t="shared" si="36"/>
        <v>0</v>
      </c>
      <c r="S321" s="126" t="str">
        <f t="shared" si="38"/>
        <v/>
      </c>
      <c r="T321" s="126" t="str">
        <f t="shared" si="37"/>
        <v/>
      </c>
      <c r="U321" s="97"/>
    </row>
    <row r="322" spans="2:23" s="4" customFormat="1" ht="15.75" x14ac:dyDescent="0.25">
      <c r="B322" s="95">
        <f t="shared" si="35"/>
        <v>318</v>
      </c>
      <c r="C322" s="95"/>
      <c r="D322" s="95"/>
      <c r="E322" s="96"/>
      <c r="F322" s="96"/>
      <c r="G322" s="95"/>
      <c r="H322" s="115"/>
      <c r="I322" s="112"/>
      <c r="J322" s="112"/>
      <c r="K322" s="113" t="str">
        <f t="shared" si="32"/>
        <v/>
      </c>
      <c r="L322" s="112"/>
      <c r="M322" s="113" t="str">
        <f t="shared" si="33"/>
        <v/>
      </c>
      <c r="N322" s="112"/>
      <c r="O322" s="112">
        <v>0</v>
      </c>
      <c r="P322" s="116">
        <v>0</v>
      </c>
      <c r="Q322" s="126" t="str">
        <f t="shared" si="34"/>
        <v/>
      </c>
      <c r="R322" s="114">
        <f t="shared" si="36"/>
        <v>0</v>
      </c>
      <c r="S322" s="126" t="str">
        <f t="shared" si="38"/>
        <v/>
      </c>
      <c r="T322" s="126" t="str">
        <f t="shared" si="37"/>
        <v/>
      </c>
      <c r="U322" s="97"/>
    </row>
    <row r="323" spans="2:23" s="4" customFormat="1" ht="15.75" x14ac:dyDescent="0.25">
      <c r="B323" s="95">
        <f t="shared" si="35"/>
        <v>319</v>
      </c>
      <c r="C323" s="95"/>
      <c r="D323" s="95"/>
      <c r="E323" s="96"/>
      <c r="F323" s="96"/>
      <c r="G323" s="95"/>
      <c r="H323" s="115"/>
      <c r="I323" s="112"/>
      <c r="J323" s="112"/>
      <c r="K323" s="113" t="str">
        <f t="shared" si="32"/>
        <v/>
      </c>
      <c r="L323" s="112"/>
      <c r="M323" s="113" t="str">
        <f t="shared" si="33"/>
        <v/>
      </c>
      <c r="N323" s="112"/>
      <c r="O323" s="112">
        <v>0</v>
      </c>
      <c r="P323" s="116">
        <v>0</v>
      </c>
      <c r="Q323" s="126" t="str">
        <f t="shared" si="34"/>
        <v/>
      </c>
      <c r="R323" s="114">
        <f t="shared" si="36"/>
        <v>0</v>
      </c>
      <c r="S323" s="126" t="str">
        <f t="shared" si="38"/>
        <v/>
      </c>
      <c r="T323" s="126" t="str">
        <f t="shared" si="37"/>
        <v/>
      </c>
      <c r="U323" s="97"/>
    </row>
    <row r="324" spans="2:23" s="4" customFormat="1" ht="15.75" x14ac:dyDescent="0.25">
      <c r="B324" s="95">
        <f t="shared" si="35"/>
        <v>320</v>
      </c>
      <c r="C324" s="95"/>
      <c r="D324" s="95"/>
      <c r="E324" s="96"/>
      <c r="F324" s="96"/>
      <c r="G324" s="95"/>
      <c r="H324" s="115"/>
      <c r="I324" s="112"/>
      <c r="J324" s="112"/>
      <c r="K324" s="113" t="str">
        <f t="shared" si="32"/>
        <v/>
      </c>
      <c r="L324" s="112"/>
      <c r="M324" s="113" t="str">
        <f t="shared" si="33"/>
        <v/>
      </c>
      <c r="N324" s="112"/>
      <c r="O324" s="112">
        <v>0</v>
      </c>
      <c r="P324" s="116">
        <v>0</v>
      </c>
      <c r="Q324" s="126" t="str">
        <f t="shared" si="34"/>
        <v/>
      </c>
      <c r="R324" s="114">
        <f t="shared" si="36"/>
        <v>0</v>
      </c>
      <c r="S324" s="126" t="str">
        <f t="shared" si="38"/>
        <v/>
      </c>
      <c r="T324" s="126" t="str">
        <f t="shared" si="37"/>
        <v/>
      </c>
      <c r="U324" s="97"/>
      <c r="W324" s="4" t="e">
        <f>(#REF!/2)-#REF!</f>
        <v>#REF!</v>
      </c>
    </row>
    <row r="325" spans="2:23" s="4" customFormat="1" ht="15.75" x14ac:dyDescent="0.25">
      <c r="B325" s="95">
        <f t="shared" si="35"/>
        <v>321</v>
      </c>
      <c r="C325" s="95"/>
      <c r="D325" s="95"/>
      <c r="E325" s="96"/>
      <c r="F325" s="96"/>
      <c r="G325" s="95"/>
      <c r="H325" s="115"/>
      <c r="I325" s="112"/>
      <c r="J325" s="112"/>
      <c r="K325" s="113" t="str">
        <f t="shared" ref="K325:K388" si="39">IF(J325,(I325-J325)/I325,"")</f>
        <v/>
      </c>
      <c r="L325" s="112"/>
      <c r="M325" s="113" t="str">
        <f t="shared" ref="M325:M388" si="40">IF(J325,L325/I325,"")</f>
        <v/>
      </c>
      <c r="N325" s="112"/>
      <c r="O325" s="112">
        <v>0</v>
      </c>
      <c r="P325" s="116">
        <v>0</v>
      </c>
      <c r="Q325" s="126" t="str">
        <f t="shared" ref="Q325:Q388" si="41">IF(P325,P325/I325,"")</f>
        <v/>
      </c>
      <c r="R325" s="114">
        <f t="shared" si="36"/>
        <v>0</v>
      </c>
      <c r="S325" s="126" t="str">
        <f t="shared" si="38"/>
        <v/>
      </c>
      <c r="T325" s="126" t="str">
        <f t="shared" si="37"/>
        <v/>
      </c>
      <c r="U325" s="97"/>
    </row>
    <row r="326" spans="2:23" s="4" customFormat="1" ht="15.75" x14ac:dyDescent="0.25">
      <c r="B326" s="95">
        <f t="shared" ref="B326:B341" si="42">B325+1</f>
        <v>322</v>
      </c>
      <c r="C326" s="95"/>
      <c r="D326" s="95"/>
      <c r="E326" s="96"/>
      <c r="F326" s="96"/>
      <c r="G326" s="95"/>
      <c r="H326" s="115"/>
      <c r="I326" s="112"/>
      <c r="J326" s="112"/>
      <c r="K326" s="113" t="str">
        <f t="shared" si="39"/>
        <v/>
      </c>
      <c r="L326" s="112"/>
      <c r="M326" s="113" t="str">
        <f t="shared" si="40"/>
        <v/>
      </c>
      <c r="N326" s="112"/>
      <c r="O326" s="112">
        <v>0</v>
      </c>
      <c r="P326" s="116">
        <v>0</v>
      </c>
      <c r="Q326" s="126" t="str">
        <f t="shared" si="41"/>
        <v/>
      </c>
      <c r="R326" s="114">
        <f t="shared" ref="R326:R389" si="43">J326-P326</f>
        <v>0</v>
      </c>
      <c r="S326" s="126" t="str">
        <f t="shared" si="38"/>
        <v/>
      </c>
      <c r="T326" s="126" t="str">
        <f t="shared" ref="T326:T389" si="44">IF(L326,K326-M326,"")</f>
        <v/>
      </c>
      <c r="U326" s="97"/>
    </row>
    <row r="327" spans="2:23" s="4" customFormat="1" ht="15.75" x14ac:dyDescent="0.25">
      <c r="B327" s="95">
        <f t="shared" si="42"/>
        <v>323</v>
      </c>
      <c r="C327" s="95"/>
      <c r="D327" s="95"/>
      <c r="E327" s="96"/>
      <c r="F327" s="96"/>
      <c r="G327" s="95"/>
      <c r="H327" s="115"/>
      <c r="I327" s="112"/>
      <c r="J327" s="112"/>
      <c r="K327" s="113" t="str">
        <f t="shared" si="39"/>
        <v/>
      </c>
      <c r="L327" s="112"/>
      <c r="M327" s="113" t="str">
        <f t="shared" si="40"/>
        <v/>
      </c>
      <c r="N327" s="112"/>
      <c r="O327" s="112">
        <v>0</v>
      </c>
      <c r="P327" s="116">
        <v>0</v>
      </c>
      <c r="Q327" s="126" t="str">
        <f t="shared" si="41"/>
        <v/>
      </c>
      <c r="R327" s="114">
        <f t="shared" si="43"/>
        <v>0</v>
      </c>
      <c r="S327" s="126" t="str">
        <f t="shared" si="38"/>
        <v/>
      </c>
      <c r="T327" s="126" t="str">
        <f t="shared" si="44"/>
        <v/>
      </c>
      <c r="U327" s="97"/>
    </row>
    <row r="328" spans="2:23" s="4" customFormat="1" ht="15.75" x14ac:dyDescent="0.25">
      <c r="B328" s="95">
        <f t="shared" si="42"/>
        <v>324</v>
      </c>
      <c r="C328" s="95"/>
      <c r="D328" s="95"/>
      <c r="E328" s="96"/>
      <c r="F328" s="96"/>
      <c r="G328" s="95"/>
      <c r="H328" s="115"/>
      <c r="I328" s="112"/>
      <c r="J328" s="112"/>
      <c r="K328" s="113" t="str">
        <f t="shared" si="39"/>
        <v/>
      </c>
      <c r="L328" s="112"/>
      <c r="M328" s="113" t="str">
        <f t="shared" si="40"/>
        <v/>
      </c>
      <c r="N328" s="112"/>
      <c r="O328" s="112">
        <v>0</v>
      </c>
      <c r="P328" s="116">
        <v>0</v>
      </c>
      <c r="Q328" s="126" t="str">
        <f t="shared" si="41"/>
        <v/>
      </c>
      <c r="R328" s="114">
        <f t="shared" si="43"/>
        <v>0</v>
      </c>
      <c r="S328" s="126" t="str">
        <f t="shared" si="38"/>
        <v/>
      </c>
      <c r="T328" s="126" t="str">
        <f t="shared" si="44"/>
        <v/>
      </c>
      <c r="U328" s="97"/>
    </row>
    <row r="329" spans="2:23" s="4" customFormat="1" ht="15.75" x14ac:dyDescent="0.25">
      <c r="B329" s="95">
        <f t="shared" si="42"/>
        <v>325</v>
      </c>
      <c r="C329" s="95"/>
      <c r="D329" s="95"/>
      <c r="E329" s="96"/>
      <c r="F329" s="96"/>
      <c r="G329" s="95"/>
      <c r="H329" s="115"/>
      <c r="I329" s="112"/>
      <c r="J329" s="112"/>
      <c r="K329" s="113" t="str">
        <f t="shared" si="39"/>
        <v/>
      </c>
      <c r="L329" s="112"/>
      <c r="M329" s="113" t="str">
        <f t="shared" si="40"/>
        <v/>
      </c>
      <c r="N329" s="112"/>
      <c r="O329" s="112">
        <v>0</v>
      </c>
      <c r="P329" s="116">
        <v>0</v>
      </c>
      <c r="Q329" s="126" t="str">
        <f t="shared" si="41"/>
        <v/>
      </c>
      <c r="R329" s="114">
        <f t="shared" si="43"/>
        <v>0</v>
      </c>
      <c r="S329" s="126" t="str">
        <f t="shared" si="38"/>
        <v/>
      </c>
      <c r="T329" s="126" t="str">
        <f t="shared" si="44"/>
        <v/>
      </c>
      <c r="U329" s="97"/>
    </row>
    <row r="330" spans="2:23" s="4" customFormat="1" ht="15.75" x14ac:dyDescent="0.25">
      <c r="B330" s="95">
        <f t="shared" si="42"/>
        <v>326</v>
      </c>
      <c r="C330" s="95"/>
      <c r="D330" s="95"/>
      <c r="E330" s="96"/>
      <c r="F330" s="96"/>
      <c r="G330" s="95"/>
      <c r="H330" s="115"/>
      <c r="I330" s="112"/>
      <c r="J330" s="112"/>
      <c r="K330" s="113" t="str">
        <f t="shared" si="39"/>
        <v/>
      </c>
      <c r="L330" s="112"/>
      <c r="M330" s="113" t="str">
        <f t="shared" si="40"/>
        <v/>
      </c>
      <c r="N330" s="112"/>
      <c r="O330" s="112">
        <v>0</v>
      </c>
      <c r="P330" s="116">
        <v>0</v>
      </c>
      <c r="Q330" s="126" t="str">
        <f t="shared" si="41"/>
        <v/>
      </c>
      <c r="R330" s="114">
        <f t="shared" si="43"/>
        <v>0</v>
      </c>
      <c r="S330" s="126" t="str">
        <f t="shared" si="38"/>
        <v/>
      </c>
      <c r="T330" s="126" t="str">
        <f t="shared" si="44"/>
        <v/>
      </c>
      <c r="U330" s="97"/>
    </row>
    <row r="331" spans="2:23" s="4" customFormat="1" ht="15.75" x14ac:dyDescent="0.25">
      <c r="B331" s="95">
        <f t="shared" si="42"/>
        <v>327</v>
      </c>
      <c r="C331" s="95"/>
      <c r="D331" s="95"/>
      <c r="E331" s="96"/>
      <c r="F331" s="96"/>
      <c r="G331" s="95"/>
      <c r="H331" s="115"/>
      <c r="I331" s="112"/>
      <c r="J331" s="112"/>
      <c r="K331" s="113" t="str">
        <f t="shared" si="39"/>
        <v/>
      </c>
      <c r="L331" s="112"/>
      <c r="M331" s="113" t="str">
        <f t="shared" si="40"/>
        <v/>
      </c>
      <c r="N331" s="112"/>
      <c r="O331" s="112">
        <v>0</v>
      </c>
      <c r="P331" s="116">
        <v>0</v>
      </c>
      <c r="Q331" s="126" t="str">
        <f t="shared" si="41"/>
        <v/>
      </c>
      <c r="R331" s="114">
        <f t="shared" si="43"/>
        <v>0</v>
      </c>
      <c r="S331" s="126" t="str">
        <f t="shared" si="38"/>
        <v/>
      </c>
      <c r="T331" s="126" t="str">
        <f t="shared" si="44"/>
        <v/>
      </c>
      <c r="U331" s="97"/>
    </row>
    <row r="332" spans="2:23" s="4" customFormat="1" ht="15.75" x14ac:dyDescent="0.25">
      <c r="B332" s="95">
        <f t="shared" si="42"/>
        <v>328</v>
      </c>
      <c r="C332" s="95"/>
      <c r="D332" s="95"/>
      <c r="E332" s="96"/>
      <c r="F332" s="96"/>
      <c r="G332" s="95"/>
      <c r="H332" s="115"/>
      <c r="I332" s="112"/>
      <c r="J332" s="112"/>
      <c r="K332" s="113" t="str">
        <f t="shared" si="39"/>
        <v/>
      </c>
      <c r="L332" s="112"/>
      <c r="M332" s="113" t="str">
        <f t="shared" si="40"/>
        <v/>
      </c>
      <c r="N332" s="112"/>
      <c r="O332" s="112">
        <v>0</v>
      </c>
      <c r="P332" s="116">
        <v>0</v>
      </c>
      <c r="Q332" s="126" t="str">
        <f t="shared" si="41"/>
        <v/>
      </c>
      <c r="R332" s="114">
        <f t="shared" si="43"/>
        <v>0</v>
      </c>
      <c r="S332" s="126" t="str">
        <f t="shared" si="38"/>
        <v/>
      </c>
      <c r="T332" s="126" t="str">
        <f t="shared" si="44"/>
        <v/>
      </c>
      <c r="U332" s="97"/>
    </row>
    <row r="333" spans="2:23" s="4" customFormat="1" ht="15.75" x14ac:dyDescent="0.25">
      <c r="B333" s="95">
        <f t="shared" si="42"/>
        <v>329</v>
      </c>
      <c r="C333" s="95"/>
      <c r="D333" s="95"/>
      <c r="E333" s="96"/>
      <c r="F333" s="96"/>
      <c r="G333" s="95"/>
      <c r="H333" s="115"/>
      <c r="I333" s="112"/>
      <c r="J333" s="112"/>
      <c r="K333" s="113" t="str">
        <f t="shared" si="39"/>
        <v/>
      </c>
      <c r="L333" s="112"/>
      <c r="M333" s="113" t="str">
        <f t="shared" si="40"/>
        <v/>
      </c>
      <c r="N333" s="112"/>
      <c r="O333" s="112">
        <v>0</v>
      </c>
      <c r="P333" s="116">
        <v>0</v>
      </c>
      <c r="Q333" s="126" t="str">
        <f t="shared" si="41"/>
        <v/>
      </c>
      <c r="R333" s="114">
        <f t="shared" si="43"/>
        <v>0</v>
      </c>
      <c r="S333" s="126" t="str">
        <f t="shared" si="38"/>
        <v/>
      </c>
      <c r="T333" s="126" t="str">
        <f t="shared" si="44"/>
        <v/>
      </c>
      <c r="U333" s="97"/>
    </row>
    <row r="334" spans="2:23" s="4" customFormat="1" ht="15.75" x14ac:dyDescent="0.25">
      <c r="B334" s="95">
        <f t="shared" si="42"/>
        <v>330</v>
      </c>
      <c r="C334" s="95"/>
      <c r="D334" s="95"/>
      <c r="E334" s="96"/>
      <c r="F334" s="96"/>
      <c r="G334" s="95"/>
      <c r="H334" s="115"/>
      <c r="I334" s="112"/>
      <c r="J334" s="112"/>
      <c r="K334" s="113" t="str">
        <f t="shared" si="39"/>
        <v/>
      </c>
      <c r="L334" s="112"/>
      <c r="M334" s="113" t="str">
        <f t="shared" si="40"/>
        <v/>
      </c>
      <c r="N334" s="112"/>
      <c r="O334" s="112">
        <v>0</v>
      </c>
      <c r="P334" s="116">
        <v>0</v>
      </c>
      <c r="Q334" s="126" t="str">
        <f t="shared" si="41"/>
        <v/>
      </c>
      <c r="R334" s="114">
        <f t="shared" si="43"/>
        <v>0</v>
      </c>
      <c r="S334" s="126" t="str">
        <f t="shared" si="38"/>
        <v/>
      </c>
      <c r="T334" s="126" t="str">
        <f t="shared" si="44"/>
        <v/>
      </c>
      <c r="U334" s="97"/>
    </row>
    <row r="335" spans="2:23" s="4" customFormat="1" ht="15.75" x14ac:dyDescent="0.25">
      <c r="B335" s="95">
        <f t="shared" si="42"/>
        <v>331</v>
      </c>
      <c r="C335" s="95"/>
      <c r="D335" s="95"/>
      <c r="E335" s="96"/>
      <c r="F335" s="96"/>
      <c r="G335" s="95"/>
      <c r="H335" s="115"/>
      <c r="I335" s="112"/>
      <c r="J335" s="112"/>
      <c r="K335" s="113" t="str">
        <f t="shared" si="39"/>
        <v/>
      </c>
      <c r="L335" s="112"/>
      <c r="M335" s="113" t="str">
        <f t="shared" si="40"/>
        <v/>
      </c>
      <c r="N335" s="112"/>
      <c r="O335" s="112">
        <v>0</v>
      </c>
      <c r="P335" s="116">
        <v>0</v>
      </c>
      <c r="Q335" s="126" t="str">
        <f t="shared" si="41"/>
        <v/>
      </c>
      <c r="R335" s="114">
        <f t="shared" si="43"/>
        <v>0</v>
      </c>
      <c r="S335" s="126" t="str">
        <f t="shared" si="38"/>
        <v/>
      </c>
      <c r="T335" s="126" t="str">
        <f t="shared" si="44"/>
        <v/>
      </c>
      <c r="U335" s="97"/>
    </row>
    <row r="336" spans="2:23" s="4" customFormat="1" ht="15.75" x14ac:dyDescent="0.25">
      <c r="B336" s="95">
        <f t="shared" si="42"/>
        <v>332</v>
      </c>
      <c r="C336" s="95"/>
      <c r="D336" s="95"/>
      <c r="E336" s="96"/>
      <c r="F336" s="96"/>
      <c r="G336" s="95"/>
      <c r="H336" s="115"/>
      <c r="I336" s="112"/>
      <c r="J336" s="112"/>
      <c r="K336" s="113" t="str">
        <f t="shared" si="39"/>
        <v/>
      </c>
      <c r="L336" s="112"/>
      <c r="M336" s="113" t="str">
        <f t="shared" si="40"/>
        <v/>
      </c>
      <c r="N336" s="112"/>
      <c r="O336" s="112">
        <v>0</v>
      </c>
      <c r="P336" s="116">
        <v>0</v>
      </c>
      <c r="Q336" s="126" t="str">
        <f t="shared" si="41"/>
        <v/>
      </c>
      <c r="R336" s="114">
        <f t="shared" si="43"/>
        <v>0</v>
      </c>
      <c r="S336" s="126" t="str">
        <f t="shared" si="38"/>
        <v/>
      </c>
      <c r="T336" s="126" t="str">
        <f t="shared" si="44"/>
        <v/>
      </c>
      <c r="U336" s="97"/>
    </row>
    <row r="337" spans="2:21" s="4" customFormat="1" ht="15.75" x14ac:dyDescent="0.25">
      <c r="B337" s="95">
        <f t="shared" si="42"/>
        <v>333</v>
      </c>
      <c r="C337" s="95"/>
      <c r="D337" s="95"/>
      <c r="E337" s="96"/>
      <c r="F337" s="96"/>
      <c r="G337" s="95"/>
      <c r="H337" s="115"/>
      <c r="I337" s="112"/>
      <c r="J337" s="112"/>
      <c r="K337" s="113" t="str">
        <f t="shared" si="39"/>
        <v/>
      </c>
      <c r="L337" s="112"/>
      <c r="M337" s="113" t="str">
        <f t="shared" si="40"/>
        <v/>
      </c>
      <c r="N337" s="112"/>
      <c r="O337" s="112">
        <v>0</v>
      </c>
      <c r="P337" s="116">
        <v>0</v>
      </c>
      <c r="Q337" s="126" t="str">
        <f t="shared" si="41"/>
        <v/>
      </c>
      <c r="R337" s="114">
        <f t="shared" si="43"/>
        <v>0</v>
      </c>
      <c r="S337" s="126" t="str">
        <f t="shared" si="38"/>
        <v/>
      </c>
      <c r="T337" s="126" t="str">
        <f t="shared" si="44"/>
        <v/>
      </c>
      <c r="U337" s="97"/>
    </row>
    <row r="338" spans="2:21" s="4" customFormat="1" ht="15.75" x14ac:dyDescent="0.25">
      <c r="B338" s="95">
        <f t="shared" si="42"/>
        <v>334</v>
      </c>
      <c r="C338" s="95"/>
      <c r="D338" s="95"/>
      <c r="E338" s="96"/>
      <c r="F338" s="96"/>
      <c r="G338" s="95"/>
      <c r="H338" s="115"/>
      <c r="I338" s="112"/>
      <c r="J338" s="112"/>
      <c r="K338" s="113" t="str">
        <f t="shared" si="39"/>
        <v/>
      </c>
      <c r="L338" s="112"/>
      <c r="M338" s="113" t="str">
        <f t="shared" si="40"/>
        <v/>
      </c>
      <c r="N338" s="112"/>
      <c r="O338" s="112">
        <v>0</v>
      </c>
      <c r="P338" s="116">
        <v>0</v>
      </c>
      <c r="Q338" s="126" t="str">
        <f t="shared" si="41"/>
        <v/>
      </c>
      <c r="R338" s="114">
        <f t="shared" si="43"/>
        <v>0</v>
      </c>
      <c r="S338" s="126" t="str">
        <f t="shared" si="38"/>
        <v/>
      </c>
      <c r="T338" s="126" t="str">
        <f t="shared" si="44"/>
        <v/>
      </c>
      <c r="U338" s="97"/>
    </row>
    <row r="339" spans="2:21" s="4" customFormat="1" ht="15.75" x14ac:dyDescent="0.25">
      <c r="B339" s="95">
        <f t="shared" si="42"/>
        <v>335</v>
      </c>
      <c r="C339" s="95"/>
      <c r="D339" s="95"/>
      <c r="E339" s="96"/>
      <c r="F339" s="96"/>
      <c r="G339" s="95"/>
      <c r="H339" s="115"/>
      <c r="I339" s="112"/>
      <c r="J339" s="112"/>
      <c r="K339" s="113" t="str">
        <f t="shared" si="39"/>
        <v/>
      </c>
      <c r="L339" s="112"/>
      <c r="M339" s="113" t="str">
        <f t="shared" si="40"/>
        <v/>
      </c>
      <c r="N339" s="112"/>
      <c r="O339" s="112">
        <v>0</v>
      </c>
      <c r="P339" s="116">
        <v>0</v>
      </c>
      <c r="Q339" s="126" t="str">
        <f t="shared" si="41"/>
        <v/>
      </c>
      <c r="R339" s="114">
        <f t="shared" si="43"/>
        <v>0</v>
      </c>
      <c r="S339" s="126" t="str">
        <f t="shared" si="38"/>
        <v/>
      </c>
      <c r="T339" s="126" t="str">
        <f t="shared" si="44"/>
        <v/>
      </c>
      <c r="U339" s="97"/>
    </row>
    <row r="340" spans="2:21" s="4" customFormat="1" ht="15.75" x14ac:dyDescent="0.25">
      <c r="B340" s="95">
        <f t="shared" si="42"/>
        <v>336</v>
      </c>
      <c r="C340" s="95"/>
      <c r="D340" s="95"/>
      <c r="E340" s="96"/>
      <c r="F340" s="96"/>
      <c r="G340" s="95"/>
      <c r="H340" s="115"/>
      <c r="I340" s="112"/>
      <c r="J340" s="112"/>
      <c r="K340" s="113" t="str">
        <f t="shared" si="39"/>
        <v/>
      </c>
      <c r="L340" s="112"/>
      <c r="M340" s="113" t="str">
        <f t="shared" si="40"/>
        <v/>
      </c>
      <c r="N340" s="112"/>
      <c r="O340" s="112">
        <v>0</v>
      </c>
      <c r="P340" s="116">
        <v>0</v>
      </c>
      <c r="Q340" s="126" t="str">
        <f t="shared" si="41"/>
        <v/>
      </c>
      <c r="R340" s="114">
        <f t="shared" si="43"/>
        <v>0</v>
      </c>
      <c r="S340" s="126" t="str">
        <f t="shared" si="38"/>
        <v/>
      </c>
      <c r="T340" s="126" t="str">
        <f t="shared" si="44"/>
        <v/>
      </c>
      <c r="U340" s="97"/>
    </row>
    <row r="341" spans="2:21" s="4" customFormat="1" ht="15.75" x14ac:dyDescent="0.25">
      <c r="B341" s="95">
        <f t="shared" si="42"/>
        <v>337</v>
      </c>
      <c r="C341" s="95"/>
      <c r="D341" s="95"/>
      <c r="E341" s="96"/>
      <c r="F341" s="96"/>
      <c r="G341" s="95"/>
      <c r="H341" s="115"/>
      <c r="I341" s="112"/>
      <c r="J341" s="112"/>
      <c r="K341" s="113" t="str">
        <f t="shared" si="39"/>
        <v/>
      </c>
      <c r="L341" s="112"/>
      <c r="M341" s="113" t="str">
        <f t="shared" si="40"/>
        <v/>
      </c>
      <c r="N341" s="112"/>
      <c r="O341" s="112">
        <v>0</v>
      </c>
      <c r="P341" s="116">
        <v>0</v>
      </c>
      <c r="Q341" s="126" t="str">
        <f t="shared" si="41"/>
        <v/>
      </c>
      <c r="R341" s="114">
        <f t="shared" si="43"/>
        <v>0</v>
      </c>
      <c r="S341" s="126" t="str">
        <f t="shared" si="38"/>
        <v/>
      </c>
      <c r="T341" s="126" t="str">
        <f t="shared" si="44"/>
        <v/>
      </c>
      <c r="U341" s="97"/>
    </row>
    <row r="342" spans="2:21" s="4" customFormat="1" ht="15.75" x14ac:dyDescent="0.25">
      <c r="B342" s="95">
        <v>339</v>
      </c>
      <c r="C342" s="95"/>
      <c r="D342" s="95"/>
      <c r="E342" s="96"/>
      <c r="F342" s="96"/>
      <c r="G342" s="95"/>
      <c r="H342" s="115"/>
      <c r="I342" s="112"/>
      <c r="J342" s="112"/>
      <c r="K342" s="113" t="str">
        <f t="shared" si="39"/>
        <v/>
      </c>
      <c r="L342" s="112"/>
      <c r="M342" s="113" t="str">
        <f t="shared" si="40"/>
        <v/>
      </c>
      <c r="N342" s="112"/>
      <c r="O342" s="112">
        <v>0</v>
      </c>
      <c r="P342" s="116">
        <v>0</v>
      </c>
      <c r="Q342" s="126" t="str">
        <f t="shared" si="41"/>
        <v/>
      </c>
      <c r="R342" s="114">
        <f t="shared" si="43"/>
        <v>0</v>
      </c>
      <c r="S342" s="126" t="str">
        <f t="shared" si="38"/>
        <v/>
      </c>
      <c r="T342" s="126" t="str">
        <f t="shared" si="44"/>
        <v/>
      </c>
      <c r="U342" s="97"/>
    </row>
    <row r="343" spans="2:21" s="4" customFormat="1" ht="15.75" x14ac:dyDescent="0.25">
      <c r="B343" s="95">
        <v>340</v>
      </c>
      <c r="C343" s="95"/>
      <c r="D343" s="95"/>
      <c r="E343" s="96"/>
      <c r="F343" s="96"/>
      <c r="G343" s="95"/>
      <c r="H343" s="115"/>
      <c r="I343" s="112"/>
      <c r="J343" s="112"/>
      <c r="K343" s="113" t="str">
        <f t="shared" si="39"/>
        <v/>
      </c>
      <c r="L343" s="112"/>
      <c r="M343" s="113" t="str">
        <f t="shared" si="40"/>
        <v/>
      </c>
      <c r="N343" s="112"/>
      <c r="O343" s="112">
        <v>0</v>
      </c>
      <c r="P343" s="116">
        <v>0</v>
      </c>
      <c r="Q343" s="126" t="str">
        <f t="shared" si="41"/>
        <v/>
      </c>
      <c r="R343" s="114">
        <f t="shared" si="43"/>
        <v>0</v>
      </c>
      <c r="S343" s="126" t="str">
        <f t="shared" si="38"/>
        <v/>
      </c>
      <c r="T343" s="126" t="str">
        <f t="shared" si="44"/>
        <v/>
      </c>
      <c r="U343" s="97"/>
    </row>
    <row r="344" spans="2:21" s="4" customFormat="1" ht="15.75" x14ac:dyDescent="0.25">
      <c r="B344" s="95">
        <v>341</v>
      </c>
      <c r="C344" s="95"/>
      <c r="D344" s="95"/>
      <c r="E344" s="96"/>
      <c r="F344" s="96"/>
      <c r="G344" s="95"/>
      <c r="H344" s="115"/>
      <c r="I344" s="112"/>
      <c r="J344" s="112"/>
      <c r="K344" s="113" t="str">
        <f t="shared" si="39"/>
        <v/>
      </c>
      <c r="L344" s="112"/>
      <c r="M344" s="113" t="str">
        <f t="shared" si="40"/>
        <v/>
      </c>
      <c r="N344" s="112"/>
      <c r="O344" s="112">
        <v>0</v>
      </c>
      <c r="P344" s="116">
        <v>0</v>
      </c>
      <c r="Q344" s="126" t="str">
        <f t="shared" si="41"/>
        <v/>
      </c>
      <c r="R344" s="114">
        <f t="shared" si="43"/>
        <v>0</v>
      </c>
      <c r="S344" s="126" t="str">
        <f t="shared" si="38"/>
        <v/>
      </c>
      <c r="T344" s="126" t="str">
        <f t="shared" si="44"/>
        <v/>
      </c>
      <c r="U344" s="97"/>
    </row>
    <row r="345" spans="2:21" s="4" customFormat="1" ht="15.75" x14ac:dyDescent="0.25">
      <c r="B345" s="95">
        <v>342</v>
      </c>
      <c r="C345" s="95"/>
      <c r="D345" s="95"/>
      <c r="E345" s="96"/>
      <c r="F345" s="96"/>
      <c r="G345" s="95"/>
      <c r="H345" s="115"/>
      <c r="I345" s="112"/>
      <c r="J345" s="112"/>
      <c r="K345" s="113" t="str">
        <f t="shared" si="39"/>
        <v/>
      </c>
      <c r="L345" s="112"/>
      <c r="M345" s="113" t="str">
        <f t="shared" si="40"/>
        <v/>
      </c>
      <c r="N345" s="112"/>
      <c r="O345" s="112">
        <v>0</v>
      </c>
      <c r="P345" s="116">
        <v>0</v>
      </c>
      <c r="Q345" s="126" t="str">
        <f t="shared" si="41"/>
        <v/>
      </c>
      <c r="R345" s="114">
        <f t="shared" si="43"/>
        <v>0</v>
      </c>
      <c r="S345" s="126" t="str">
        <f t="shared" si="38"/>
        <v/>
      </c>
      <c r="T345" s="126" t="str">
        <f t="shared" si="44"/>
        <v/>
      </c>
      <c r="U345" s="97"/>
    </row>
    <row r="346" spans="2:21" s="4" customFormat="1" ht="15.75" x14ac:dyDescent="0.25">
      <c r="B346" s="95">
        <v>343</v>
      </c>
      <c r="C346" s="95"/>
      <c r="D346" s="95"/>
      <c r="E346" s="96"/>
      <c r="F346" s="96"/>
      <c r="G346" s="95"/>
      <c r="H346" s="115"/>
      <c r="I346" s="112"/>
      <c r="J346" s="112"/>
      <c r="K346" s="113" t="str">
        <f t="shared" si="39"/>
        <v/>
      </c>
      <c r="L346" s="112"/>
      <c r="M346" s="113" t="str">
        <f t="shared" si="40"/>
        <v/>
      </c>
      <c r="N346" s="112"/>
      <c r="O346" s="112">
        <v>0</v>
      </c>
      <c r="P346" s="116">
        <v>0</v>
      </c>
      <c r="Q346" s="126" t="str">
        <f t="shared" si="41"/>
        <v/>
      </c>
      <c r="R346" s="114">
        <f t="shared" si="43"/>
        <v>0</v>
      </c>
      <c r="S346" s="126" t="str">
        <f t="shared" si="38"/>
        <v/>
      </c>
      <c r="T346" s="126" t="str">
        <f t="shared" si="44"/>
        <v/>
      </c>
      <c r="U346" s="97"/>
    </row>
    <row r="347" spans="2:21" s="4" customFormat="1" ht="15.75" x14ac:dyDescent="0.25">
      <c r="B347" s="95">
        <v>344</v>
      </c>
      <c r="C347" s="95"/>
      <c r="D347" s="95"/>
      <c r="E347" s="96"/>
      <c r="F347" s="96"/>
      <c r="G347" s="95"/>
      <c r="H347" s="115"/>
      <c r="I347" s="112"/>
      <c r="J347" s="112"/>
      <c r="K347" s="113" t="str">
        <f t="shared" si="39"/>
        <v/>
      </c>
      <c r="L347" s="112"/>
      <c r="M347" s="113" t="str">
        <f t="shared" si="40"/>
        <v/>
      </c>
      <c r="N347" s="112"/>
      <c r="O347" s="112">
        <v>0</v>
      </c>
      <c r="P347" s="116">
        <v>0</v>
      </c>
      <c r="Q347" s="126" t="str">
        <f t="shared" si="41"/>
        <v/>
      </c>
      <c r="R347" s="114">
        <f t="shared" si="43"/>
        <v>0</v>
      </c>
      <c r="S347" s="126" t="str">
        <f t="shared" si="38"/>
        <v/>
      </c>
      <c r="T347" s="126" t="str">
        <f t="shared" si="44"/>
        <v/>
      </c>
      <c r="U347" s="97"/>
    </row>
    <row r="348" spans="2:21" s="4" customFormat="1" ht="15.75" x14ac:dyDescent="0.25">
      <c r="B348" s="95">
        <v>345</v>
      </c>
      <c r="C348" s="95"/>
      <c r="D348" s="95"/>
      <c r="E348" s="96"/>
      <c r="F348" s="96"/>
      <c r="G348" s="95"/>
      <c r="H348" s="115"/>
      <c r="I348" s="112"/>
      <c r="J348" s="112"/>
      <c r="K348" s="113" t="str">
        <f t="shared" si="39"/>
        <v/>
      </c>
      <c r="L348" s="112"/>
      <c r="M348" s="113" t="str">
        <f t="shared" si="40"/>
        <v/>
      </c>
      <c r="N348" s="112"/>
      <c r="O348" s="112">
        <v>0</v>
      </c>
      <c r="P348" s="116">
        <v>0</v>
      </c>
      <c r="Q348" s="126" t="str">
        <f t="shared" si="41"/>
        <v/>
      </c>
      <c r="R348" s="114">
        <f t="shared" si="43"/>
        <v>0</v>
      </c>
      <c r="S348" s="126" t="str">
        <f t="shared" si="38"/>
        <v/>
      </c>
      <c r="T348" s="126" t="str">
        <f t="shared" si="44"/>
        <v/>
      </c>
      <c r="U348" s="97"/>
    </row>
    <row r="349" spans="2:21" s="4" customFormat="1" ht="15.75" x14ac:dyDescent="0.25">
      <c r="B349" s="95">
        <v>346</v>
      </c>
      <c r="C349" s="95"/>
      <c r="D349" s="95"/>
      <c r="E349" s="96"/>
      <c r="F349" s="96"/>
      <c r="G349" s="95"/>
      <c r="H349" s="115"/>
      <c r="I349" s="112"/>
      <c r="J349" s="112"/>
      <c r="K349" s="113" t="str">
        <f t="shared" si="39"/>
        <v/>
      </c>
      <c r="L349" s="112"/>
      <c r="M349" s="113" t="str">
        <f t="shared" si="40"/>
        <v/>
      </c>
      <c r="N349" s="112"/>
      <c r="O349" s="112">
        <v>0</v>
      </c>
      <c r="P349" s="116">
        <v>0</v>
      </c>
      <c r="Q349" s="126" t="str">
        <f t="shared" si="41"/>
        <v/>
      </c>
      <c r="R349" s="114">
        <f t="shared" si="43"/>
        <v>0</v>
      </c>
      <c r="S349" s="126" t="str">
        <f t="shared" si="38"/>
        <v/>
      </c>
      <c r="T349" s="126" t="str">
        <f t="shared" si="44"/>
        <v/>
      </c>
      <c r="U349" s="97"/>
    </row>
    <row r="350" spans="2:21" s="4" customFormat="1" ht="15.75" x14ac:dyDescent="0.25">
      <c r="B350" s="95">
        <v>347</v>
      </c>
      <c r="C350" s="95"/>
      <c r="D350" s="95"/>
      <c r="E350" s="96"/>
      <c r="F350" s="96"/>
      <c r="G350" s="95"/>
      <c r="H350" s="115"/>
      <c r="I350" s="112"/>
      <c r="J350" s="112"/>
      <c r="K350" s="113" t="str">
        <f t="shared" si="39"/>
        <v/>
      </c>
      <c r="L350" s="112"/>
      <c r="M350" s="113" t="str">
        <f t="shared" si="40"/>
        <v/>
      </c>
      <c r="N350" s="112"/>
      <c r="O350" s="112">
        <v>0</v>
      </c>
      <c r="P350" s="116">
        <v>0</v>
      </c>
      <c r="Q350" s="126" t="str">
        <f t="shared" si="41"/>
        <v/>
      </c>
      <c r="R350" s="114">
        <f t="shared" si="43"/>
        <v>0</v>
      </c>
      <c r="S350" s="126" t="str">
        <f t="shared" si="38"/>
        <v/>
      </c>
      <c r="T350" s="126" t="str">
        <f t="shared" si="44"/>
        <v/>
      </c>
      <c r="U350" s="97"/>
    </row>
    <row r="351" spans="2:21" s="4" customFormat="1" ht="15.75" x14ac:dyDescent="0.25">
      <c r="B351" s="95">
        <v>348</v>
      </c>
      <c r="C351" s="95"/>
      <c r="D351" s="95"/>
      <c r="E351" s="96"/>
      <c r="F351" s="96"/>
      <c r="G351" s="95"/>
      <c r="H351" s="115"/>
      <c r="I351" s="112"/>
      <c r="J351" s="112"/>
      <c r="K351" s="113" t="str">
        <f t="shared" si="39"/>
        <v/>
      </c>
      <c r="L351" s="112"/>
      <c r="M351" s="113" t="str">
        <f t="shared" si="40"/>
        <v/>
      </c>
      <c r="N351" s="112"/>
      <c r="O351" s="112">
        <v>0</v>
      </c>
      <c r="P351" s="116">
        <v>0</v>
      </c>
      <c r="Q351" s="126" t="str">
        <f t="shared" si="41"/>
        <v/>
      </c>
      <c r="R351" s="114">
        <f t="shared" si="43"/>
        <v>0</v>
      </c>
      <c r="S351" s="126" t="str">
        <f t="shared" si="38"/>
        <v/>
      </c>
      <c r="T351" s="126" t="str">
        <f t="shared" si="44"/>
        <v/>
      </c>
      <c r="U351" s="97"/>
    </row>
    <row r="352" spans="2:21" s="4" customFormat="1" ht="15.75" x14ac:dyDescent="0.25">
      <c r="B352" s="95">
        <v>349</v>
      </c>
      <c r="C352" s="95"/>
      <c r="D352" s="95"/>
      <c r="E352" s="96"/>
      <c r="F352" s="96"/>
      <c r="G352" s="95"/>
      <c r="H352" s="115"/>
      <c r="I352" s="112"/>
      <c r="J352" s="112"/>
      <c r="K352" s="113" t="str">
        <f t="shared" si="39"/>
        <v/>
      </c>
      <c r="L352" s="112"/>
      <c r="M352" s="113" t="str">
        <f t="shared" si="40"/>
        <v/>
      </c>
      <c r="N352" s="112"/>
      <c r="O352" s="112">
        <v>0</v>
      </c>
      <c r="P352" s="116">
        <v>0</v>
      </c>
      <c r="Q352" s="126" t="str">
        <f t="shared" si="41"/>
        <v/>
      </c>
      <c r="R352" s="114">
        <f t="shared" si="43"/>
        <v>0</v>
      </c>
      <c r="S352" s="126" t="str">
        <f t="shared" si="38"/>
        <v/>
      </c>
      <c r="T352" s="126" t="str">
        <f t="shared" si="44"/>
        <v/>
      </c>
      <c r="U352" s="97"/>
    </row>
    <row r="353" spans="2:21" s="4" customFormat="1" ht="15.75" x14ac:dyDescent="0.25">
      <c r="B353" s="95">
        <v>350</v>
      </c>
      <c r="C353" s="95"/>
      <c r="D353" s="95"/>
      <c r="E353" s="96"/>
      <c r="F353" s="96"/>
      <c r="G353" s="95"/>
      <c r="H353" s="115"/>
      <c r="I353" s="112"/>
      <c r="J353" s="112"/>
      <c r="K353" s="113" t="str">
        <f t="shared" si="39"/>
        <v/>
      </c>
      <c r="L353" s="112"/>
      <c r="M353" s="113" t="str">
        <f t="shared" si="40"/>
        <v/>
      </c>
      <c r="N353" s="112"/>
      <c r="O353" s="112">
        <v>0</v>
      </c>
      <c r="P353" s="116">
        <v>0</v>
      </c>
      <c r="Q353" s="126" t="str">
        <f t="shared" si="41"/>
        <v/>
      </c>
      <c r="R353" s="114">
        <f t="shared" si="43"/>
        <v>0</v>
      </c>
      <c r="S353" s="126" t="str">
        <f t="shared" si="38"/>
        <v/>
      </c>
      <c r="T353" s="126" t="str">
        <f t="shared" si="44"/>
        <v/>
      </c>
      <c r="U353" s="97"/>
    </row>
    <row r="354" spans="2:21" s="4" customFormat="1" ht="15.75" x14ac:dyDescent="0.25">
      <c r="B354" s="95">
        <v>351</v>
      </c>
      <c r="C354" s="95"/>
      <c r="D354" s="95"/>
      <c r="E354" s="96"/>
      <c r="F354" s="96"/>
      <c r="G354" s="95"/>
      <c r="H354" s="115"/>
      <c r="I354" s="112"/>
      <c r="J354" s="112"/>
      <c r="K354" s="113" t="str">
        <f t="shared" si="39"/>
        <v/>
      </c>
      <c r="L354" s="112"/>
      <c r="M354" s="113" t="str">
        <f t="shared" si="40"/>
        <v/>
      </c>
      <c r="N354" s="112"/>
      <c r="O354" s="112">
        <v>0</v>
      </c>
      <c r="P354" s="116">
        <v>0</v>
      </c>
      <c r="Q354" s="126" t="str">
        <f t="shared" si="41"/>
        <v/>
      </c>
      <c r="R354" s="114">
        <f t="shared" si="43"/>
        <v>0</v>
      </c>
      <c r="S354" s="126" t="str">
        <f t="shared" si="38"/>
        <v/>
      </c>
      <c r="T354" s="126" t="str">
        <f t="shared" si="44"/>
        <v/>
      </c>
      <c r="U354" s="97"/>
    </row>
    <row r="355" spans="2:21" s="4" customFormat="1" ht="15.75" x14ac:dyDescent="0.25">
      <c r="B355" s="95">
        <v>352</v>
      </c>
      <c r="C355" s="95"/>
      <c r="D355" s="95"/>
      <c r="E355" s="96"/>
      <c r="F355" s="96"/>
      <c r="G355" s="95"/>
      <c r="H355" s="115"/>
      <c r="I355" s="112"/>
      <c r="J355" s="112"/>
      <c r="K355" s="113" t="str">
        <f t="shared" si="39"/>
        <v/>
      </c>
      <c r="L355" s="112"/>
      <c r="M355" s="113" t="str">
        <f t="shared" si="40"/>
        <v/>
      </c>
      <c r="N355" s="112"/>
      <c r="O355" s="112">
        <v>0</v>
      </c>
      <c r="P355" s="116">
        <v>0</v>
      </c>
      <c r="Q355" s="126" t="str">
        <f t="shared" si="41"/>
        <v/>
      </c>
      <c r="R355" s="114">
        <f t="shared" si="43"/>
        <v>0</v>
      </c>
      <c r="S355" s="126" t="str">
        <f t="shared" si="38"/>
        <v/>
      </c>
      <c r="T355" s="126" t="str">
        <f t="shared" si="44"/>
        <v/>
      </c>
      <c r="U355" s="100"/>
    </row>
    <row r="356" spans="2:21" s="4" customFormat="1" ht="15.75" x14ac:dyDescent="0.25">
      <c r="B356" s="95">
        <v>353</v>
      </c>
      <c r="C356" s="95"/>
      <c r="D356" s="95"/>
      <c r="E356" s="96"/>
      <c r="F356" s="96"/>
      <c r="G356" s="95"/>
      <c r="H356" s="115"/>
      <c r="I356" s="112"/>
      <c r="J356" s="112"/>
      <c r="K356" s="113" t="str">
        <f t="shared" si="39"/>
        <v/>
      </c>
      <c r="L356" s="112"/>
      <c r="M356" s="113" t="str">
        <f t="shared" si="40"/>
        <v/>
      </c>
      <c r="N356" s="112"/>
      <c r="O356" s="112">
        <v>0</v>
      </c>
      <c r="P356" s="116">
        <v>0</v>
      </c>
      <c r="Q356" s="126" t="str">
        <f t="shared" si="41"/>
        <v/>
      </c>
      <c r="R356" s="114">
        <f t="shared" si="43"/>
        <v>0</v>
      </c>
      <c r="S356" s="126" t="str">
        <f t="shared" si="38"/>
        <v/>
      </c>
      <c r="T356" s="126" t="str">
        <f t="shared" si="44"/>
        <v/>
      </c>
      <c r="U356" s="100"/>
    </row>
    <row r="357" spans="2:21" s="4" customFormat="1" ht="15.75" x14ac:dyDescent="0.25">
      <c r="B357" s="95">
        <v>354</v>
      </c>
      <c r="C357" s="95"/>
      <c r="D357" s="95"/>
      <c r="E357" s="96"/>
      <c r="F357" s="96"/>
      <c r="G357" s="95"/>
      <c r="H357" s="115"/>
      <c r="I357" s="112"/>
      <c r="J357" s="112"/>
      <c r="K357" s="113" t="str">
        <f t="shared" si="39"/>
        <v/>
      </c>
      <c r="L357" s="112"/>
      <c r="M357" s="113" t="str">
        <f t="shared" si="40"/>
        <v/>
      </c>
      <c r="N357" s="112"/>
      <c r="O357" s="112">
        <v>0</v>
      </c>
      <c r="P357" s="116">
        <v>0</v>
      </c>
      <c r="Q357" s="126" t="str">
        <f t="shared" si="41"/>
        <v/>
      </c>
      <c r="R357" s="114">
        <f t="shared" si="43"/>
        <v>0</v>
      </c>
      <c r="S357" s="126" t="str">
        <f t="shared" si="38"/>
        <v/>
      </c>
      <c r="T357" s="126" t="str">
        <f t="shared" si="44"/>
        <v/>
      </c>
      <c r="U357" s="100"/>
    </row>
    <row r="358" spans="2:21" s="4" customFormat="1" ht="15.75" x14ac:dyDescent="0.25">
      <c r="B358" s="95">
        <v>355</v>
      </c>
      <c r="C358" s="95"/>
      <c r="D358" s="95"/>
      <c r="E358" s="96"/>
      <c r="F358" s="96"/>
      <c r="G358" s="95"/>
      <c r="H358" s="115"/>
      <c r="I358" s="112"/>
      <c r="J358" s="112"/>
      <c r="K358" s="113" t="str">
        <f t="shared" si="39"/>
        <v/>
      </c>
      <c r="L358" s="112"/>
      <c r="M358" s="113" t="str">
        <f t="shared" si="40"/>
        <v/>
      </c>
      <c r="N358" s="112"/>
      <c r="O358" s="112">
        <v>0</v>
      </c>
      <c r="P358" s="116">
        <v>0</v>
      </c>
      <c r="Q358" s="126" t="str">
        <f t="shared" si="41"/>
        <v/>
      </c>
      <c r="R358" s="114">
        <f t="shared" si="43"/>
        <v>0</v>
      </c>
      <c r="S358" s="126" t="str">
        <f t="shared" si="38"/>
        <v/>
      </c>
      <c r="T358" s="126" t="str">
        <f t="shared" si="44"/>
        <v/>
      </c>
      <c r="U358" s="100"/>
    </row>
    <row r="359" spans="2:21" s="4" customFormat="1" ht="15.75" x14ac:dyDescent="0.25">
      <c r="B359" s="95">
        <v>356</v>
      </c>
      <c r="C359" s="95"/>
      <c r="D359" s="95"/>
      <c r="E359" s="96"/>
      <c r="F359" s="96"/>
      <c r="G359" s="95"/>
      <c r="H359" s="115"/>
      <c r="I359" s="112"/>
      <c r="J359" s="112"/>
      <c r="K359" s="113" t="str">
        <f t="shared" si="39"/>
        <v/>
      </c>
      <c r="L359" s="112"/>
      <c r="M359" s="113" t="str">
        <f t="shared" si="40"/>
        <v/>
      </c>
      <c r="N359" s="112"/>
      <c r="O359" s="112">
        <v>0</v>
      </c>
      <c r="P359" s="116">
        <v>0</v>
      </c>
      <c r="Q359" s="126" t="str">
        <f t="shared" si="41"/>
        <v/>
      </c>
      <c r="R359" s="114">
        <f t="shared" si="43"/>
        <v>0</v>
      </c>
      <c r="S359" s="126" t="str">
        <f t="shared" si="38"/>
        <v/>
      </c>
      <c r="T359" s="126" t="str">
        <f t="shared" si="44"/>
        <v/>
      </c>
      <c r="U359" s="100"/>
    </row>
    <row r="360" spans="2:21" s="4" customFormat="1" ht="15.75" x14ac:dyDescent="0.25">
      <c r="B360" s="95">
        <v>357</v>
      </c>
      <c r="C360" s="95"/>
      <c r="D360" s="95"/>
      <c r="E360" s="96"/>
      <c r="F360" s="96"/>
      <c r="G360" s="95"/>
      <c r="H360" s="115"/>
      <c r="I360" s="112"/>
      <c r="J360" s="112"/>
      <c r="K360" s="113" t="str">
        <f t="shared" si="39"/>
        <v/>
      </c>
      <c r="L360" s="112"/>
      <c r="M360" s="113" t="str">
        <f t="shared" si="40"/>
        <v/>
      </c>
      <c r="N360" s="112"/>
      <c r="O360" s="112">
        <v>0</v>
      </c>
      <c r="P360" s="116">
        <v>0</v>
      </c>
      <c r="Q360" s="126" t="str">
        <f t="shared" si="41"/>
        <v/>
      </c>
      <c r="R360" s="114">
        <f t="shared" si="43"/>
        <v>0</v>
      </c>
      <c r="S360" s="126" t="str">
        <f t="shared" si="38"/>
        <v/>
      </c>
      <c r="T360" s="126" t="str">
        <f t="shared" si="44"/>
        <v/>
      </c>
      <c r="U360" s="100"/>
    </row>
    <row r="361" spans="2:21" s="4" customFormat="1" ht="15.75" x14ac:dyDescent="0.25">
      <c r="B361" s="95">
        <v>358</v>
      </c>
      <c r="C361" s="95"/>
      <c r="D361" s="95"/>
      <c r="E361" s="96"/>
      <c r="F361" s="96"/>
      <c r="G361" s="95"/>
      <c r="H361" s="115"/>
      <c r="I361" s="112"/>
      <c r="J361" s="112"/>
      <c r="K361" s="113" t="str">
        <f t="shared" si="39"/>
        <v/>
      </c>
      <c r="L361" s="112"/>
      <c r="M361" s="113" t="str">
        <f t="shared" si="40"/>
        <v/>
      </c>
      <c r="N361" s="112"/>
      <c r="O361" s="112">
        <v>0</v>
      </c>
      <c r="P361" s="116">
        <v>0</v>
      </c>
      <c r="Q361" s="126" t="str">
        <f t="shared" si="41"/>
        <v/>
      </c>
      <c r="R361" s="114">
        <f t="shared" si="43"/>
        <v>0</v>
      </c>
      <c r="S361" s="126" t="str">
        <f t="shared" si="38"/>
        <v/>
      </c>
      <c r="T361" s="126" t="str">
        <f t="shared" si="44"/>
        <v/>
      </c>
      <c r="U361" s="100"/>
    </row>
    <row r="362" spans="2:21" s="4" customFormat="1" ht="15.75" x14ac:dyDescent="0.25">
      <c r="B362" s="95">
        <v>359</v>
      </c>
      <c r="C362" s="95"/>
      <c r="D362" s="95"/>
      <c r="E362" s="96"/>
      <c r="F362" s="96"/>
      <c r="G362" s="95"/>
      <c r="H362" s="115"/>
      <c r="I362" s="112"/>
      <c r="J362" s="112"/>
      <c r="K362" s="113" t="str">
        <f t="shared" si="39"/>
        <v/>
      </c>
      <c r="L362" s="112"/>
      <c r="M362" s="113" t="str">
        <f t="shared" si="40"/>
        <v/>
      </c>
      <c r="N362" s="112"/>
      <c r="O362" s="112">
        <v>0</v>
      </c>
      <c r="P362" s="116">
        <v>0</v>
      </c>
      <c r="Q362" s="126" t="str">
        <f t="shared" si="41"/>
        <v/>
      </c>
      <c r="R362" s="114">
        <f t="shared" si="43"/>
        <v>0</v>
      </c>
      <c r="S362" s="126" t="str">
        <f t="shared" si="38"/>
        <v/>
      </c>
      <c r="T362" s="126" t="str">
        <f t="shared" si="44"/>
        <v/>
      </c>
      <c r="U362" s="100"/>
    </row>
    <row r="363" spans="2:21" s="4" customFormat="1" ht="15.75" x14ac:dyDescent="0.25">
      <c r="B363" s="95">
        <v>360</v>
      </c>
      <c r="C363" s="95"/>
      <c r="D363" s="95"/>
      <c r="E363" s="96"/>
      <c r="F363" s="96"/>
      <c r="G363" s="95"/>
      <c r="H363" s="115"/>
      <c r="I363" s="112"/>
      <c r="J363" s="112"/>
      <c r="K363" s="113" t="str">
        <f t="shared" si="39"/>
        <v/>
      </c>
      <c r="L363" s="112"/>
      <c r="M363" s="113" t="str">
        <f t="shared" si="40"/>
        <v/>
      </c>
      <c r="N363" s="112"/>
      <c r="O363" s="112">
        <v>0</v>
      </c>
      <c r="P363" s="116">
        <v>0</v>
      </c>
      <c r="Q363" s="126" t="str">
        <f t="shared" si="41"/>
        <v/>
      </c>
      <c r="R363" s="114">
        <f t="shared" si="43"/>
        <v>0</v>
      </c>
      <c r="S363" s="126" t="str">
        <f t="shared" si="38"/>
        <v/>
      </c>
      <c r="T363" s="126" t="str">
        <f t="shared" si="44"/>
        <v/>
      </c>
      <c r="U363" s="100"/>
    </row>
    <row r="364" spans="2:21" s="4" customFormat="1" ht="15.75" x14ac:dyDescent="0.25">
      <c r="B364" s="95">
        <v>361</v>
      </c>
      <c r="C364" s="95"/>
      <c r="D364" s="95"/>
      <c r="E364" s="96"/>
      <c r="F364" s="96"/>
      <c r="G364" s="95"/>
      <c r="H364" s="115"/>
      <c r="I364" s="112"/>
      <c r="J364" s="112"/>
      <c r="K364" s="113" t="str">
        <f t="shared" si="39"/>
        <v/>
      </c>
      <c r="L364" s="112"/>
      <c r="M364" s="113" t="str">
        <f t="shared" si="40"/>
        <v/>
      </c>
      <c r="N364" s="112"/>
      <c r="O364" s="112">
        <v>0</v>
      </c>
      <c r="P364" s="116">
        <v>0</v>
      </c>
      <c r="Q364" s="126" t="str">
        <f t="shared" si="41"/>
        <v/>
      </c>
      <c r="R364" s="114">
        <f t="shared" si="43"/>
        <v>0</v>
      </c>
      <c r="S364" s="126" t="str">
        <f t="shared" si="38"/>
        <v/>
      </c>
      <c r="T364" s="126" t="str">
        <f t="shared" si="44"/>
        <v/>
      </c>
      <c r="U364" s="100"/>
    </row>
    <row r="365" spans="2:21" s="4" customFormat="1" ht="15.75" x14ac:dyDescent="0.25">
      <c r="B365" s="95">
        <v>362</v>
      </c>
      <c r="C365" s="95"/>
      <c r="D365" s="95"/>
      <c r="E365" s="96"/>
      <c r="F365" s="96"/>
      <c r="G365" s="95"/>
      <c r="H365" s="115"/>
      <c r="I365" s="112"/>
      <c r="J365" s="112"/>
      <c r="K365" s="113" t="str">
        <f t="shared" si="39"/>
        <v/>
      </c>
      <c r="L365" s="112"/>
      <c r="M365" s="113" t="str">
        <f t="shared" si="40"/>
        <v/>
      </c>
      <c r="N365" s="112"/>
      <c r="O365" s="112">
        <v>0</v>
      </c>
      <c r="P365" s="116">
        <v>0</v>
      </c>
      <c r="Q365" s="126" t="str">
        <f t="shared" si="41"/>
        <v/>
      </c>
      <c r="R365" s="114">
        <f t="shared" si="43"/>
        <v>0</v>
      </c>
      <c r="S365" s="126" t="str">
        <f t="shared" si="38"/>
        <v/>
      </c>
      <c r="T365" s="126" t="str">
        <f t="shared" si="44"/>
        <v/>
      </c>
      <c r="U365" s="100"/>
    </row>
    <row r="366" spans="2:21" s="4" customFormat="1" ht="15.75" x14ac:dyDescent="0.25">
      <c r="B366" s="95">
        <v>363</v>
      </c>
      <c r="C366" s="95"/>
      <c r="D366" s="95"/>
      <c r="E366" s="96"/>
      <c r="F366" s="96"/>
      <c r="G366" s="95"/>
      <c r="H366" s="115"/>
      <c r="I366" s="112"/>
      <c r="J366" s="112"/>
      <c r="K366" s="113" t="str">
        <f t="shared" si="39"/>
        <v/>
      </c>
      <c r="L366" s="112"/>
      <c r="M366" s="113" t="str">
        <f t="shared" si="40"/>
        <v/>
      </c>
      <c r="N366" s="112"/>
      <c r="O366" s="112">
        <v>0</v>
      </c>
      <c r="P366" s="116">
        <v>0</v>
      </c>
      <c r="Q366" s="126" t="str">
        <f t="shared" si="41"/>
        <v/>
      </c>
      <c r="R366" s="114">
        <f t="shared" si="43"/>
        <v>0</v>
      </c>
      <c r="S366" s="126" t="str">
        <f t="shared" si="38"/>
        <v/>
      </c>
      <c r="T366" s="126" t="str">
        <f t="shared" si="44"/>
        <v/>
      </c>
      <c r="U366" s="100"/>
    </row>
    <row r="367" spans="2:21" s="4" customFormat="1" ht="15.75" x14ac:dyDescent="0.25">
      <c r="B367" s="95">
        <v>364</v>
      </c>
      <c r="C367" s="95"/>
      <c r="D367" s="95"/>
      <c r="E367" s="96"/>
      <c r="F367" s="96"/>
      <c r="G367" s="95"/>
      <c r="H367" s="115"/>
      <c r="I367" s="112"/>
      <c r="J367" s="112"/>
      <c r="K367" s="113" t="str">
        <f t="shared" si="39"/>
        <v/>
      </c>
      <c r="L367" s="112"/>
      <c r="M367" s="113" t="str">
        <f t="shared" si="40"/>
        <v/>
      </c>
      <c r="N367" s="112"/>
      <c r="O367" s="112">
        <v>0</v>
      </c>
      <c r="P367" s="116">
        <v>0</v>
      </c>
      <c r="Q367" s="126" t="str">
        <f t="shared" si="41"/>
        <v/>
      </c>
      <c r="R367" s="114">
        <f t="shared" si="43"/>
        <v>0</v>
      </c>
      <c r="S367" s="126" t="str">
        <f t="shared" si="38"/>
        <v/>
      </c>
      <c r="T367" s="126" t="str">
        <f t="shared" si="44"/>
        <v/>
      </c>
      <c r="U367" s="100"/>
    </row>
    <row r="368" spans="2:21" s="4" customFormat="1" ht="15.75" x14ac:dyDescent="0.25">
      <c r="B368" s="95">
        <v>365</v>
      </c>
      <c r="C368" s="95"/>
      <c r="D368" s="95"/>
      <c r="E368" s="96"/>
      <c r="F368" s="96"/>
      <c r="G368" s="95"/>
      <c r="H368" s="115"/>
      <c r="I368" s="112"/>
      <c r="J368" s="112"/>
      <c r="K368" s="113" t="str">
        <f t="shared" si="39"/>
        <v/>
      </c>
      <c r="L368" s="112"/>
      <c r="M368" s="113" t="str">
        <f t="shared" si="40"/>
        <v/>
      </c>
      <c r="N368" s="112"/>
      <c r="O368" s="112">
        <v>0</v>
      </c>
      <c r="P368" s="116">
        <v>0</v>
      </c>
      <c r="Q368" s="126" t="str">
        <f t="shared" si="41"/>
        <v/>
      </c>
      <c r="R368" s="114">
        <f t="shared" si="43"/>
        <v>0</v>
      </c>
      <c r="S368" s="126" t="str">
        <f t="shared" si="38"/>
        <v/>
      </c>
      <c r="T368" s="126" t="str">
        <f t="shared" si="44"/>
        <v/>
      </c>
      <c r="U368" s="100"/>
    </row>
    <row r="369" spans="2:21" s="4" customFormat="1" ht="15.75" x14ac:dyDescent="0.25">
      <c r="B369" s="95">
        <v>366</v>
      </c>
      <c r="C369" s="95"/>
      <c r="D369" s="95"/>
      <c r="E369" s="96"/>
      <c r="F369" s="96"/>
      <c r="G369" s="95"/>
      <c r="H369" s="115"/>
      <c r="I369" s="112"/>
      <c r="J369" s="112"/>
      <c r="K369" s="113" t="str">
        <f t="shared" si="39"/>
        <v/>
      </c>
      <c r="L369" s="112"/>
      <c r="M369" s="113" t="str">
        <f t="shared" si="40"/>
        <v/>
      </c>
      <c r="N369" s="112"/>
      <c r="O369" s="112">
        <v>0</v>
      </c>
      <c r="P369" s="116">
        <v>0</v>
      </c>
      <c r="Q369" s="126" t="str">
        <f t="shared" si="41"/>
        <v/>
      </c>
      <c r="R369" s="114">
        <f t="shared" si="43"/>
        <v>0</v>
      </c>
      <c r="S369" s="126" t="str">
        <f t="shared" si="38"/>
        <v/>
      </c>
      <c r="T369" s="126" t="str">
        <f t="shared" si="44"/>
        <v/>
      </c>
      <c r="U369" s="100"/>
    </row>
    <row r="370" spans="2:21" s="4" customFormat="1" ht="15.75" x14ac:dyDescent="0.25">
      <c r="B370" s="95">
        <v>367</v>
      </c>
      <c r="C370" s="95"/>
      <c r="D370" s="95"/>
      <c r="E370" s="96"/>
      <c r="F370" s="96"/>
      <c r="G370" s="95"/>
      <c r="H370" s="115"/>
      <c r="I370" s="112"/>
      <c r="J370" s="112"/>
      <c r="K370" s="113" t="str">
        <f t="shared" si="39"/>
        <v/>
      </c>
      <c r="L370" s="112"/>
      <c r="M370" s="113" t="str">
        <f t="shared" si="40"/>
        <v/>
      </c>
      <c r="N370" s="112"/>
      <c r="O370" s="112">
        <v>0</v>
      </c>
      <c r="P370" s="116">
        <v>0</v>
      </c>
      <c r="Q370" s="126" t="str">
        <f t="shared" si="41"/>
        <v/>
      </c>
      <c r="R370" s="114">
        <f t="shared" si="43"/>
        <v>0</v>
      </c>
      <c r="S370" s="126" t="str">
        <f t="shared" si="38"/>
        <v/>
      </c>
      <c r="T370" s="126" t="str">
        <f t="shared" si="44"/>
        <v/>
      </c>
      <c r="U370" s="100"/>
    </row>
    <row r="371" spans="2:21" s="4" customFormat="1" ht="15.75" x14ac:dyDescent="0.25">
      <c r="B371" s="95">
        <v>368</v>
      </c>
      <c r="C371" s="95"/>
      <c r="D371" s="95"/>
      <c r="E371" s="96"/>
      <c r="F371" s="96"/>
      <c r="G371" s="95"/>
      <c r="H371" s="115"/>
      <c r="I371" s="112"/>
      <c r="J371" s="112"/>
      <c r="K371" s="113" t="str">
        <f t="shared" si="39"/>
        <v/>
      </c>
      <c r="L371" s="112"/>
      <c r="M371" s="113" t="str">
        <f t="shared" si="40"/>
        <v/>
      </c>
      <c r="N371" s="112"/>
      <c r="O371" s="112">
        <v>0</v>
      </c>
      <c r="P371" s="116">
        <v>0</v>
      </c>
      <c r="Q371" s="126" t="str">
        <f t="shared" si="41"/>
        <v/>
      </c>
      <c r="R371" s="114">
        <f t="shared" si="43"/>
        <v>0</v>
      </c>
      <c r="S371" s="126" t="str">
        <f t="shared" si="38"/>
        <v/>
      </c>
      <c r="T371" s="126" t="str">
        <f t="shared" si="44"/>
        <v/>
      </c>
      <c r="U371" s="100"/>
    </row>
    <row r="372" spans="2:21" s="4" customFormat="1" ht="15.75" x14ac:dyDescent="0.25">
      <c r="B372" s="95">
        <v>369</v>
      </c>
      <c r="C372" s="95"/>
      <c r="D372" s="95"/>
      <c r="E372" s="96"/>
      <c r="F372" s="96"/>
      <c r="G372" s="95"/>
      <c r="H372" s="115"/>
      <c r="I372" s="112"/>
      <c r="J372" s="112"/>
      <c r="K372" s="113" t="str">
        <f t="shared" si="39"/>
        <v/>
      </c>
      <c r="L372" s="112"/>
      <c r="M372" s="113" t="str">
        <f t="shared" si="40"/>
        <v/>
      </c>
      <c r="N372" s="112"/>
      <c r="O372" s="112">
        <v>0</v>
      </c>
      <c r="P372" s="116">
        <v>0</v>
      </c>
      <c r="Q372" s="126" t="str">
        <f t="shared" si="41"/>
        <v/>
      </c>
      <c r="R372" s="114">
        <f t="shared" si="43"/>
        <v>0</v>
      </c>
      <c r="S372" s="126" t="str">
        <f t="shared" si="38"/>
        <v/>
      </c>
      <c r="T372" s="126" t="str">
        <f t="shared" si="44"/>
        <v/>
      </c>
      <c r="U372" s="100"/>
    </row>
    <row r="373" spans="2:21" s="4" customFormat="1" ht="15.75" x14ac:dyDescent="0.25">
      <c r="B373" s="95">
        <v>370</v>
      </c>
      <c r="C373" s="95"/>
      <c r="D373" s="95"/>
      <c r="E373" s="96"/>
      <c r="F373" s="96"/>
      <c r="G373" s="95"/>
      <c r="H373" s="115"/>
      <c r="I373" s="112"/>
      <c r="J373" s="112"/>
      <c r="K373" s="113" t="str">
        <f t="shared" si="39"/>
        <v/>
      </c>
      <c r="L373" s="112"/>
      <c r="M373" s="113" t="str">
        <f t="shared" si="40"/>
        <v/>
      </c>
      <c r="N373" s="112"/>
      <c r="O373" s="112">
        <v>0</v>
      </c>
      <c r="P373" s="116">
        <v>0</v>
      </c>
      <c r="Q373" s="126" t="str">
        <f t="shared" si="41"/>
        <v/>
      </c>
      <c r="R373" s="114">
        <f t="shared" si="43"/>
        <v>0</v>
      </c>
      <c r="S373" s="126" t="str">
        <f t="shared" si="38"/>
        <v/>
      </c>
      <c r="T373" s="126" t="str">
        <f t="shared" si="44"/>
        <v/>
      </c>
      <c r="U373" s="100"/>
    </row>
    <row r="374" spans="2:21" s="4" customFormat="1" ht="15.75" x14ac:dyDescent="0.25">
      <c r="B374" s="95">
        <v>371</v>
      </c>
      <c r="C374" s="95"/>
      <c r="D374" s="95"/>
      <c r="E374" s="96"/>
      <c r="F374" s="96"/>
      <c r="G374" s="95"/>
      <c r="H374" s="115"/>
      <c r="I374" s="112"/>
      <c r="J374" s="112"/>
      <c r="K374" s="113" t="str">
        <f t="shared" si="39"/>
        <v/>
      </c>
      <c r="L374" s="112"/>
      <c r="M374" s="113" t="str">
        <f t="shared" si="40"/>
        <v/>
      </c>
      <c r="N374" s="112"/>
      <c r="O374" s="112">
        <v>0</v>
      </c>
      <c r="P374" s="116">
        <v>0</v>
      </c>
      <c r="Q374" s="126" t="str">
        <f t="shared" si="41"/>
        <v/>
      </c>
      <c r="R374" s="114">
        <f t="shared" si="43"/>
        <v>0</v>
      </c>
      <c r="S374" s="126" t="str">
        <f t="shared" si="38"/>
        <v/>
      </c>
      <c r="T374" s="126" t="str">
        <f t="shared" si="44"/>
        <v/>
      </c>
      <c r="U374" s="100"/>
    </row>
    <row r="375" spans="2:21" s="4" customFormat="1" ht="15.75" x14ac:dyDescent="0.25">
      <c r="B375" s="95">
        <v>372</v>
      </c>
      <c r="C375" s="95"/>
      <c r="D375" s="95"/>
      <c r="E375" s="96"/>
      <c r="F375" s="96"/>
      <c r="G375" s="95"/>
      <c r="H375" s="115"/>
      <c r="I375" s="112"/>
      <c r="J375" s="112"/>
      <c r="K375" s="113" t="str">
        <f t="shared" si="39"/>
        <v/>
      </c>
      <c r="L375" s="112"/>
      <c r="M375" s="113" t="str">
        <f t="shared" si="40"/>
        <v/>
      </c>
      <c r="N375" s="112"/>
      <c r="O375" s="112">
        <v>0</v>
      </c>
      <c r="P375" s="116">
        <v>0</v>
      </c>
      <c r="Q375" s="126" t="str">
        <f t="shared" si="41"/>
        <v/>
      </c>
      <c r="R375" s="114">
        <f t="shared" si="43"/>
        <v>0</v>
      </c>
      <c r="S375" s="126" t="str">
        <f t="shared" si="38"/>
        <v/>
      </c>
      <c r="T375" s="126" t="str">
        <f t="shared" si="44"/>
        <v/>
      </c>
      <c r="U375" s="100"/>
    </row>
    <row r="376" spans="2:21" s="4" customFormat="1" ht="15.75" x14ac:dyDescent="0.25">
      <c r="B376" s="95">
        <v>373</v>
      </c>
      <c r="C376" s="95"/>
      <c r="D376" s="95"/>
      <c r="E376" s="96"/>
      <c r="F376" s="96"/>
      <c r="G376" s="95"/>
      <c r="H376" s="115"/>
      <c r="I376" s="112"/>
      <c r="J376" s="112"/>
      <c r="K376" s="113" t="str">
        <f t="shared" si="39"/>
        <v/>
      </c>
      <c r="L376" s="112"/>
      <c r="M376" s="113" t="str">
        <f t="shared" si="40"/>
        <v/>
      </c>
      <c r="N376" s="112"/>
      <c r="O376" s="112">
        <v>0</v>
      </c>
      <c r="P376" s="116">
        <v>0</v>
      </c>
      <c r="Q376" s="126" t="str">
        <f t="shared" si="41"/>
        <v/>
      </c>
      <c r="R376" s="114">
        <f t="shared" si="43"/>
        <v>0</v>
      </c>
      <c r="S376" s="126" t="str">
        <f t="shared" si="38"/>
        <v/>
      </c>
      <c r="T376" s="126" t="str">
        <f t="shared" si="44"/>
        <v/>
      </c>
      <c r="U376" s="100"/>
    </row>
    <row r="377" spans="2:21" s="4" customFormat="1" ht="15.75" x14ac:dyDescent="0.25">
      <c r="B377" s="95">
        <v>374</v>
      </c>
      <c r="C377" s="95"/>
      <c r="D377" s="95"/>
      <c r="E377" s="96"/>
      <c r="F377" s="96"/>
      <c r="G377" s="95"/>
      <c r="H377" s="115"/>
      <c r="I377" s="112"/>
      <c r="J377" s="112"/>
      <c r="K377" s="113" t="str">
        <f t="shared" si="39"/>
        <v/>
      </c>
      <c r="L377" s="112"/>
      <c r="M377" s="113" t="str">
        <f t="shared" si="40"/>
        <v/>
      </c>
      <c r="N377" s="112"/>
      <c r="O377" s="112">
        <v>0</v>
      </c>
      <c r="P377" s="116">
        <v>0</v>
      </c>
      <c r="Q377" s="126" t="str">
        <f t="shared" si="41"/>
        <v/>
      </c>
      <c r="R377" s="114">
        <f t="shared" si="43"/>
        <v>0</v>
      </c>
      <c r="S377" s="126" t="str">
        <f t="shared" si="38"/>
        <v/>
      </c>
      <c r="T377" s="126" t="str">
        <f t="shared" si="44"/>
        <v/>
      </c>
      <c r="U377" s="100"/>
    </row>
    <row r="378" spans="2:21" s="4" customFormat="1" ht="15.75" x14ac:dyDescent="0.25">
      <c r="B378" s="95">
        <v>375</v>
      </c>
      <c r="C378" s="95"/>
      <c r="D378" s="95"/>
      <c r="E378" s="96"/>
      <c r="F378" s="96"/>
      <c r="G378" s="95"/>
      <c r="H378" s="115"/>
      <c r="I378" s="112"/>
      <c r="J378" s="112"/>
      <c r="K378" s="113" t="str">
        <f t="shared" si="39"/>
        <v/>
      </c>
      <c r="L378" s="112"/>
      <c r="M378" s="113" t="str">
        <f t="shared" si="40"/>
        <v/>
      </c>
      <c r="N378" s="112"/>
      <c r="O378" s="112">
        <v>0</v>
      </c>
      <c r="P378" s="116">
        <v>0</v>
      </c>
      <c r="Q378" s="126" t="str">
        <f t="shared" si="41"/>
        <v/>
      </c>
      <c r="R378" s="114">
        <f t="shared" si="43"/>
        <v>0</v>
      </c>
      <c r="S378" s="126" t="str">
        <f t="shared" si="38"/>
        <v/>
      </c>
      <c r="T378" s="126" t="str">
        <f t="shared" si="44"/>
        <v/>
      </c>
      <c r="U378" s="100"/>
    </row>
    <row r="379" spans="2:21" s="4" customFormat="1" ht="15.75" x14ac:dyDescent="0.25">
      <c r="B379" s="95">
        <v>376</v>
      </c>
      <c r="C379" s="95"/>
      <c r="D379" s="95"/>
      <c r="E379" s="96"/>
      <c r="F379" s="96"/>
      <c r="G379" s="95"/>
      <c r="H379" s="115"/>
      <c r="I379" s="112"/>
      <c r="J379" s="112"/>
      <c r="K379" s="113" t="str">
        <f t="shared" si="39"/>
        <v/>
      </c>
      <c r="L379" s="112"/>
      <c r="M379" s="113" t="str">
        <f t="shared" si="40"/>
        <v/>
      </c>
      <c r="N379" s="112"/>
      <c r="O379" s="112">
        <v>0</v>
      </c>
      <c r="P379" s="116">
        <v>0</v>
      </c>
      <c r="Q379" s="126" t="str">
        <f t="shared" si="41"/>
        <v/>
      </c>
      <c r="R379" s="114">
        <f t="shared" si="43"/>
        <v>0</v>
      </c>
      <c r="S379" s="126" t="str">
        <f t="shared" si="38"/>
        <v/>
      </c>
      <c r="T379" s="126" t="str">
        <f t="shared" si="44"/>
        <v/>
      </c>
      <c r="U379" s="100"/>
    </row>
    <row r="380" spans="2:21" s="4" customFormat="1" ht="15.75" x14ac:dyDescent="0.25">
      <c r="B380" s="95">
        <v>377</v>
      </c>
      <c r="C380" s="95"/>
      <c r="D380" s="95"/>
      <c r="E380" s="96"/>
      <c r="F380" s="96"/>
      <c r="G380" s="95"/>
      <c r="H380" s="115"/>
      <c r="I380" s="112"/>
      <c r="J380" s="112"/>
      <c r="K380" s="113" t="str">
        <f t="shared" si="39"/>
        <v/>
      </c>
      <c r="L380" s="112"/>
      <c r="M380" s="113" t="str">
        <f t="shared" si="40"/>
        <v/>
      </c>
      <c r="N380" s="112"/>
      <c r="O380" s="112">
        <v>0</v>
      </c>
      <c r="P380" s="116">
        <v>0</v>
      </c>
      <c r="Q380" s="126" t="str">
        <f t="shared" si="41"/>
        <v/>
      </c>
      <c r="R380" s="114">
        <f t="shared" si="43"/>
        <v>0</v>
      </c>
      <c r="S380" s="126" t="str">
        <f t="shared" si="38"/>
        <v/>
      </c>
      <c r="T380" s="126" t="str">
        <f t="shared" si="44"/>
        <v/>
      </c>
      <c r="U380" s="100"/>
    </row>
    <row r="381" spans="2:21" s="4" customFormat="1" ht="15.75" x14ac:dyDescent="0.25">
      <c r="B381" s="95">
        <v>378</v>
      </c>
      <c r="C381" s="95"/>
      <c r="D381" s="95"/>
      <c r="E381" s="96"/>
      <c r="F381" s="96"/>
      <c r="G381" s="95"/>
      <c r="H381" s="115"/>
      <c r="I381" s="112"/>
      <c r="J381" s="112"/>
      <c r="K381" s="113" t="str">
        <f t="shared" si="39"/>
        <v/>
      </c>
      <c r="L381" s="112"/>
      <c r="M381" s="113" t="str">
        <f t="shared" si="40"/>
        <v/>
      </c>
      <c r="N381" s="112"/>
      <c r="O381" s="112">
        <v>0</v>
      </c>
      <c r="P381" s="116">
        <v>0</v>
      </c>
      <c r="Q381" s="126" t="str">
        <f t="shared" si="41"/>
        <v/>
      </c>
      <c r="R381" s="114">
        <f t="shared" si="43"/>
        <v>0</v>
      </c>
      <c r="S381" s="126" t="str">
        <f t="shared" si="38"/>
        <v/>
      </c>
      <c r="T381" s="126" t="str">
        <f t="shared" si="44"/>
        <v/>
      </c>
      <c r="U381" s="100"/>
    </row>
    <row r="382" spans="2:21" s="4" customFormat="1" ht="15.75" x14ac:dyDescent="0.25">
      <c r="B382" s="95">
        <v>379</v>
      </c>
      <c r="C382" s="95"/>
      <c r="D382" s="95"/>
      <c r="E382" s="96"/>
      <c r="F382" s="96"/>
      <c r="G382" s="95"/>
      <c r="H382" s="115"/>
      <c r="I382" s="112"/>
      <c r="J382" s="112"/>
      <c r="K382" s="113" t="str">
        <f t="shared" si="39"/>
        <v/>
      </c>
      <c r="L382" s="112"/>
      <c r="M382" s="113" t="str">
        <f t="shared" si="40"/>
        <v/>
      </c>
      <c r="N382" s="112"/>
      <c r="O382" s="112">
        <v>0</v>
      </c>
      <c r="P382" s="116">
        <v>0</v>
      </c>
      <c r="Q382" s="126" t="str">
        <f t="shared" si="41"/>
        <v/>
      </c>
      <c r="R382" s="114">
        <f t="shared" si="43"/>
        <v>0</v>
      </c>
      <c r="S382" s="126" t="str">
        <f t="shared" ref="S382:S402" si="45">IF(R382,R382/I382,"")</f>
        <v/>
      </c>
      <c r="T382" s="126" t="str">
        <f t="shared" si="44"/>
        <v/>
      </c>
      <c r="U382" s="100"/>
    </row>
    <row r="383" spans="2:21" s="4" customFormat="1" ht="15.75" x14ac:dyDescent="0.25">
      <c r="B383" s="95">
        <v>380</v>
      </c>
      <c r="C383" s="95"/>
      <c r="D383" s="95"/>
      <c r="E383" s="96"/>
      <c r="F383" s="96"/>
      <c r="G383" s="95"/>
      <c r="H383" s="115"/>
      <c r="I383" s="112"/>
      <c r="J383" s="112"/>
      <c r="K383" s="113" t="str">
        <f t="shared" si="39"/>
        <v/>
      </c>
      <c r="L383" s="112"/>
      <c r="M383" s="113" t="str">
        <f t="shared" si="40"/>
        <v/>
      </c>
      <c r="N383" s="112"/>
      <c r="O383" s="112">
        <v>0</v>
      </c>
      <c r="P383" s="116">
        <v>0</v>
      </c>
      <c r="Q383" s="126" t="str">
        <f t="shared" si="41"/>
        <v/>
      </c>
      <c r="R383" s="114">
        <f t="shared" si="43"/>
        <v>0</v>
      </c>
      <c r="S383" s="126" t="str">
        <f t="shared" si="45"/>
        <v/>
      </c>
      <c r="T383" s="126" t="str">
        <f t="shared" si="44"/>
        <v/>
      </c>
      <c r="U383" s="100"/>
    </row>
    <row r="384" spans="2:21" s="4" customFormat="1" ht="15.75" x14ac:dyDescent="0.25">
      <c r="B384" s="95">
        <v>381</v>
      </c>
      <c r="C384" s="95"/>
      <c r="D384" s="95"/>
      <c r="E384" s="96"/>
      <c r="F384" s="96"/>
      <c r="G384" s="95"/>
      <c r="H384" s="115"/>
      <c r="I384" s="112"/>
      <c r="J384" s="112"/>
      <c r="K384" s="113" t="str">
        <f t="shared" si="39"/>
        <v/>
      </c>
      <c r="L384" s="112"/>
      <c r="M384" s="113" t="str">
        <f t="shared" si="40"/>
        <v/>
      </c>
      <c r="N384" s="112"/>
      <c r="O384" s="112">
        <v>0</v>
      </c>
      <c r="P384" s="116">
        <v>0</v>
      </c>
      <c r="Q384" s="126" t="str">
        <f t="shared" si="41"/>
        <v/>
      </c>
      <c r="R384" s="114">
        <f t="shared" si="43"/>
        <v>0</v>
      </c>
      <c r="S384" s="126" t="str">
        <f t="shared" si="45"/>
        <v/>
      </c>
      <c r="T384" s="126" t="str">
        <f t="shared" si="44"/>
        <v/>
      </c>
      <c r="U384" s="100"/>
    </row>
    <row r="385" spans="2:23" s="4" customFormat="1" ht="15.75" x14ac:dyDescent="0.25">
      <c r="B385" s="95">
        <v>382</v>
      </c>
      <c r="C385" s="95"/>
      <c r="D385" s="95"/>
      <c r="E385" s="96"/>
      <c r="F385" s="96"/>
      <c r="G385" s="95"/>
      <c r="H385" s="115"/>
      <c r="I385" s="112"/>
      <c r="J385" s="112"/>
      <c r="K385" s="113" t="str">
        <f t="shared" si="39"/>
        <v/>
      </c>
      <c r="L385" s="112"/>
      <c r="M385" s="113" t="str">
        <f t="shared" si="40"/>
        <v/>
      </c>
      <c r="N385" s="112"/>
      <c r="O385" s="112">
        <v>0</v>
      </c>
      <c r="P385" s="116">
        <v>0</v>
      </c>
      <c r="Q385" s="126" t="str">
        <f t="shared" si="41"/>
        <v/>
      </c>
      <c r="R385" s="114">
        <f t="shared" si="43"/>
        <v>0</v>
      </c>
      <c r="S385" s="126" t="str">
        <f t="shared" si="45"/>
        <v/>
      </c>
      <c r="T385" s="126" t="str">
        <f t="shared" si="44"/>
        <v/>
      </c>
      <c r="U385" s="100"/>
    </row>
    <row r="386" spans="2:23" s="4" customFormat="1" ht="15.75" x14ac:dyDescent="0.25">
      <c r="B386" s="95">
        <v>383</v>
      </c>
      <c r="C386" s="95"/>
      <c r="D386" s="95"/>
      <c r="E386" s="96"/>
      <c r="F386" s="96"/>
      <c r="G386" s="95"/>
      <c r="H386" s="115"/>
      <c r="I386" s="112"/>
      <c r="J386" s="112"/>
      <c r="K386" s="113" t="str">
        <f t="shared" si="39"/>
        <v/>
      </c>
      <c r="L386" s="112"/>
      <c r="M386" s="113" t="str">
        <f t="shared" si="40"/>
        <v/>
      </c>
      <c r="N386" s="112"/>
      <c r="O386" s="112">
        <v>0</v>
      </c>
      <c r="P386" s="116">
        <v>0</v>
      </c>
      <c r="Q386" s="126" t="str">
        <f t="shared" si="41"/>
        <v/>
      </c>
      <c r="R386" s="114">
        <f t="shared" si="43"/>
        <v>0</v>
      </c>
      <c r="S386" s="126" t="str">
        <f t="shared" si="45"/>
        <v/>
      </c>
      <c r="T386" s="126" t="str">
        <f t="shared" si="44"/>
        <v/>
      </c>
      <c r="U386" s="100"/>
    </row>
    <row r="387" spans="2:23" s="4" customFormat="1" ht="15.75" x14ac:dyDescent="0.25">
      <c r="B387" s="95">
        <v>384</v>
      </c>
      <c r="C387" s="95"/>
      <c r="D387" s="95"/>
      <c r="E387" s="96"/>
      <c r="F387" s="96"/>
      <c r="G387" s="95"/>
      <c r="H387" s="115"/>
      <c r="I387" s="112"/>
      <c r="J387" s="112"/>
      <c r="K387" s="113" t="str">
        <f t="shared" si="39"/>
        <v/>
      </c>
      <c r="L387" s="112"/>
      <c r="M387" s="113" t="str">
        <f t="shared" si="40"/>
        <v/>
      </c>
      <c r="N387" s="112"/>
      <c r="O387" s="112">
        <v>0</v>
      </c>
      <c r="P387" s="116">
        <v>0</v>
      </c>
      <c r="Q387" s="126" t="str">
        <f t="shared" si="41"/>
        <v/>
      </c>
      <c r="R387" s="114">
        <f t="shared" si="43"/>
        <v>0</v>
      </c>
      <c r="S387" s="126" t="str">
        <f t="shared" si="45"/>
        <v/>
      </c>
      <c r="T387" s="126" t="str">
        <f t="shared" si="44"/>
        <v/>
      </c>
      <c r="U387" s="100"/>
    </row>
    <row r="388" spans="2:23" s="4" customFormat="1" ht="15.75" x14ac:dyDescent="0.25">
      <c r="B388" s="95">
        <v>385</v>
      </c>
      <c r="C388" s="95"/>
      <c r="D388" s="95"/>
      <c r="E388" s="96"/>
      <c r="F388" s="96"/>
      <c r="G388" s="95"/>
      <c r="H388" s="115"/>
      <c r="I388" s="112"/>
      <c r="J388" s="112"/>
      <c r="K388" s="113" t="str">
        <f t="shared" si="39"/>
        <v/>
      </c>
      <c r="L388" s="112"/>
      <c r="M388" s="113" t="str">
        <f t="shared" si="40"/>
        <v/>
      </c>
      <c r="N388" s="112"/>
      <c r="O388" s="112">
        <v>0</v>
      </c>
      <c r="P388" s="116">
        <v>0</v>
      </c>
      <c r="Q388" s="126" t="str">
        <f t="shared" si="41"/>
        <v/>
      </c>
      <c r="R388" s="114">
        <f t="shared" si="43"/>
        <v>0</v>
      </c>
      <c r="S388" s="126" t="str">
        <f t="shared" si="45"/>
        <v/>
      </c>
      <c r="T388" s="126" t="str">
        <f t="shared" si="44"/>
        <v/>
      </c>
      <c r="U388" s="100"/>
    </row>
    <row r="389" spans="2:23" s="4" customFormat="1" ht="15.75" x14ac:dyDescent="0.25">
      <c r="B389" s="95">
        <v>386</v>
      </c>
      <c r="C389" s="95"/>
      <c r="D389" s="95"/>
      <c r="E389" s="96"/>
      <c r="F389" s="96"/>
      <c r="G389" s="95"/>
      <c r="H389" s="115"/>
      <c r="I389" s="112"/>
      <c r="J389" s="112"/>
      <c r="K389" s="113" t="str">
        <f t="shared" ref="K389:K402" si="46">IF(J389,(I389-J389)/I389,"")</f>
        <v/>
      </c>
      <c r="L389" s="112"/>
      <c r="M389" s="113" t="str">
        <f t="shared" ref="M389:M402" si="47">IF(J389,L389/I389,"")</f>
        <v/>
      </c>
      <c r="N389" s="112"/>
      <c r="O389" s="112">
        <v>0</v>
      </c>
      <c r="P389" s="116">
        <v>0</v>
      </c>
      <c r="Q389" s="126" t="str">
        <f t="shared" ref="Q389:Q402" si="48">IF(P389,P389/I389,"")</f>
        <v/>
      </c>
      <c r="R389" s="114">
        <f t="shared" si="43"/>
        <v>0</v>
      </c>
      <c r="S389" s="126" t="str">
        <f t="shared" si="45"/>
        <v/>
      </c>
      <c r="T389" s="126" t="str">
        <f t="shared" si="44"/>
        <v/>
      </c>
      <c r="U389" s="100"/>
    </row>
    <row r="390" spans="2:23" s="4" customFormat="1" ht="15.75" x14ac:dyDescent="0.25">
      <c r="B390" s="95">
        <v>387</v>
      </c>
      <c r="C390" s="95"/>
      <c r="D390" s="95"/>
      <c r="E390" s="96"/>
      <c r="F390" s="96"/>
      <c r="G390" s="95"/>
      <c r="H390" s="115"/>
      <c r="I390" s="112"/>
      <c r="J390" s="112"/>
      <c r="K390" s="113" t="str">
        <f t="shared" si="46"/>
        <v/>
      </c>
      <c r="L390" s="112"/>
      <c r="M390" s="113" t="str">
        <f t="shared" si="47"/>
        <v/>
      </c>
      <c r="N390" s="112"/>
      <c r="O390" s="112">
        <v>0</v>
      </c>
      <c r="P390" s="116">
        <v>0</v>
      </c>
      <c r="Q390" s="126" t="str">
        <f t="shared" si="48"/>
        <v/>
      </c>
      <c r="R390" s="114">
        <f t="shared" ref="R390:R402" si="49">J390-P390</f>
        <v>0</v>
      </c>
      <c r="S390" s="126" t="str">
        <f t="shared" si="45"/>
        <v/>
      </c>
      <c r="T390" s="126" t="str">
        <f t="shared" ref="T390:T402" si="50">IF(L390,K390-M390,"")</f>
        <v/>
      </c>
      <c r="U390" s="100"/>
    </row>
    <row r="391" spans="2:23" s="4" customFormat="1" ht="15.75" x14ac:dyDescent="0.25">
      <c r="B391" s="95">
        <v>388</v>
      </c>
      <c r="C391" s="95"/>
      <c r="D391" s="95"/>
      <c r="E391" s="96"/>
      <c r="F391" s="96"/>
      <c r="G391" s="95"/>
      <c r="H391" s="115"/>
      <c r="I391" s="112"/>
      <c r="J391" s="112"/>
      <c r="K391" s="113" t="str">
        <f t="shared" si="46"/>
        <v/>
      </c>
      <c r="L391" s="112"/>
      <c r="M391" s="113" t="str">
        <f t="shared" si="47"/>
        <v/>
      </c>
      <c r="N391" s="112"/>
      <c r="O391" s="112">
        <v>0</v>
      </c>
      <c r="P391" s="116">
        <v>0</v>
      </c>
      <c r="Q391" s="126" t="str">
        <f t="shared" si="48"/>
        <v/>
      </c>
      <c r="R391" s="114">
        <f t="shared" si="49"/>
        <v>0</v>
      </c>
      <c r="S391" s="126" t="str">
        <f t="shared" si="45"/>
        <v/>
      </c>
      <c r="T391" s="126" t="str">
        <f t="shared" si="50"/>
        <v/>
      </c>
      <c r="U391" s="100"/>
      <c r="W391" s="4" t="s">
        <v>12</v>
      </c>
    </row>
    <row r="392" spans="2:23" s="4" customFormat="1" ht="15.75" x14ac:dyDescent="0.25">
      <c r="B392" s="95">
        <v>389</v>
      </c>
      <c r="C392" s="95"/>
      <c r="D392" s="95"/>
      <c r="E392" s="96"/>
      <c r="F392" s="96"/>
      <c r="G392" s="95"/>
      <c r="H392" s="115"/>
      <c r="I392" s="112"/>
      <c r="J392" s="112"/>
      <c r="K392" s="113" t="str">
        <f t="shared" si="46"/>
        <v/>
      </c>
      <c r="L392" s="112"/>
      <c r="M392" s="113" t="str">
        <f t="shared" si="47"/>
        <v/>
      </c>
      <c r="N392" s="112"/>
      <c r="O392" s="112">
        <v>0</v>
      </c>
      <c r="P392" s="116">
        <v>0</v>
      </c>
      <c r="Q392" s="126" t="str">
        <f t="shared" si="48"/>
        <v/>
      </c>
      <c r="R392" s="114">
        <f t="shared" si="49"/>
        <v>0</v>
      </c>
      <c r="S392" s="126" t="str">
        <f t="shared" si="45"/>
        <v/>
      </c>
      <c r="T392" s="126" t="str">
        <f t="shared" si="50"/>
        <v/>
      </c>
      <c r="U392" s="100"/>
    </row>
    <row r="393" spans="2:23" s="4" customFormat="1" ht="15.75" x14ac:dyDescent="0.25">
      <c r="B393" s="95">
        <v>390</v>
      </c>
      <c r="C393" s="95"/>
      <c r="D393" s="95"/>
      <c r="E393" s="96"/>
      <c r="F393" s="96"/>
      <c r="G393" s="95"/>
      <c r="H393" s="115"/>
      <c r="I393" s="112"/>
      <c r="J393" s="112"/>
      <c r="K393" s="113" t="str">
        <f t="shared" si="46"/>
        <v/>
      </c>
      <c r="L393" s="112"/>
      <c r="M393" s="113" t="str">
        <f t="shared" si="47"/>
        <v/>
      </c>
      <c r="N393" s="112"/>
      <c r="O393" s="112">
        <v>0</v>
      </c>
      <c r="P393" s="116">
        <v>0</v>
      </c>
      <c r="Q393" s="126" t="str">
        <f t="shared" si="48"/>
        <v/>
      </c>
      <c r="R393" s="114">
        <f t="shared" si="49"/>
        <v>0</v>
      </c>
      <c r="S393" s="126" t="str">
        <f t="shared" si="45"/>
        <v/>
      </c>
      <c r="T393" s="126" t="str">
        <f t="shared" si="50"/>
        <v/>
      </c>
      <c r="U393" s="100"/>
    </row>
    <row r="394" spans="2:23" s="4" customFormat="1" ht="15.75" x14ac:dyDescent="0.25">
      <c r="B394" s="95">
        <v>391</v>
      </c>
      <c r="C394" s="95"/>
      <c r="D394" s="95"/>
      <c r="E394" s="96"/>
      <c r="F394" s="96"/>
      <c r="G394" s="95"/>
      <c r="H394" s="115"/>
      <c r="I394" s="112"/>
      <c r="J394" s="112"/>
      <c r="K394" s="113" t="str">
        <f t="shared" si="46"/>
        <v/>
      </c>
      <c r="L394" s="112"/>
      <c r="M394" s="113" t="str">
        <f t="shared" si="47"/>
        <v/>
      </c>
      <c r="N394" s="112"/>
      <c r="O394" s="112">
        <v>0</v>
      </c>
      <c r="P394" s="116">
        <v>0</v>
      </c>
      <c r="Q394" s="126" t="str">
        <f t="shared" si="48"/>
        <v/>
      </c>
      <c r="R394" s="114">
        <f t="shared" si="49"/>
        <v>0</v>
      </c>
      <c r="S394" s="126" t="str">
        <f t="shared" si="45"/>
        <v/>
      </c>
      <c r="T394" s="126" t="str">
        <f t="shared" si="50"/>
        <v/>
      </c>
      <c r="U394" s="100"/>
    </row>
    <row r="395" spans="2:23" s="4" customFormat="1" ht="15.75" x14ac:dyDescent="0.25">
      <c r="B395" s="95">
        <v>392</v>
      </c>
      <c r="C395" s="95"/>
      <c r="D395" s="95"/>
      <c r="E395" s="96"/>
      <c r="F395" s="96"/>
      <c r="G395" s="95"/>
      <c r="H395" s="115"/>
      <c r="I395" s="112"/>
      <c r="J395" s="112"/>
      <c r="K395" s="113" t="str">
        <f t="shared" si="46"/>
        <v/>
      </c>
      <c r="L395" s="112"/>
      <c r="M395" s="113" t="str">
        <f t="shared" si="47"/>
        <v/>
      </c>
      <c r="N395" s="112"/>
      <c r="O395" s="112">
        <v>0</v>
      </c>
      <c r="P395" s="116">
        <v>0</v>
      </c>
      <c r="Q395" s="126" t="str">
        <f t="shared" si="48"/>
        <v/>
      </c>
      <c r="R395" s="114">
        <f t="shared" si="49"/>
        <v>0</v>
      </c>
      <c r="S395" s="126" t="str">
        <f t="shared" si="45"/>
        <v/>
      </c>
      <c r="T395" s="126" t="str">
        <f t="shared" si="50"/>
        <v/>
      </c>
      <c r="U395" s="100"/>
    </row>
    <row r="396" spans="2:23" s="4" customFormat="1" ht="15.75" x14ac:dyDescent="0.25">
      <c r="B396" s="95">
        <v>393</v>
      </c>
      <c r="C396" s="95"/>
      <c r="D396" s="95"/>
      <c r="E396" s="96"/>
      <c r="F396" s="96"/>
      <c r="G396" s="95"/>
      <c r="H396" s="115"/>
      <c r="I396" s="112"/>
      <c r="J396" s="112"/>
      <c r="K396" s="113" t="str">
        <f t="shared" si="46"/>
        <v/>
      </c>
      <c r="L396" s="112"/>
      <c r="M396" s="113" t="str">
        <f t="shared" si="47"/>
        <v/>
      </c>
      <c r="N396" s="112"/>
      <c r="O396" s="112">
        <v>0</v>
      </c>
      <c r="P396" s="116">
        <v>0</v>
      </c>
      <c r="Q396" s="126" t="str">
        <f t="shared" si="48"/>
        <v/>
      </c>
      <c r="R396" s="114">
        <f t="shared" si="49"/>
        <v>0</v>
      </c>
      <c r="S396" s="126" t="str">
        <f t="shared" si="45"/>
        <v/>
      </c>
      <c r="T396" s="126" t="str">
        <f t="shared" si="50"/>
        <v/>
      </c>
      <c r="U396" s="100"/>
    </row>
    <row r="397" spans="2:23" s="4" customFormat="1" ht="15.75" x14ac:dyDescent="0.25">
      <c r="B397" s="95">
        <v>394</v>
      </c>
      <c r="C397" s="95"/>
      <c r="D397" s="95"/>
      <c r="E397" s="96"/>
      <c r="F397" s="96"/>
      <c r="G397" s="95"/>
      <c r="H397" s="115"/>
      <c r="I397" s="112"/>
      <c r="J397" s="112"/>
      <c r="K397" s="113" t="str">
        <f t="shared" si="46"/>
        <v/>
      </c>
      <c r="L397" s="112"/>
      <c r="M397" s="113" t="str">
        <f t="shared" si="47"/>
        <v/>
      </c>
      <c r="N397" s="112"/>
      <c r="O397" s="112">
        <v>0</v>
      </c>
      <c r="P397" s="116">
        <v>0</v>
      </c>
      <c r="Q397" s="126" t="str">
        <f t="shared" si="48"/>
        <v/>
      </c>
      <c r="R397" s="114">
        <f t="shared" si="49"/>
        <v>0</v>
      </c>
      <c r="S397" s="126" t="str">
        <f t="shared" si="45"/>
        <v/>
      </c>
      <c r="T397" s="126" t="str">
        <f t="shared" si="50"/>
        <v/>
      </c>
      <c r="U397" s="100"/>
    </row>
    <row r="398" spans="2:23" s="4" customFormat="1" ht="15.75" x14ac:dyDescent="0.25">
      <c r="B398" s="95">
        <v>395</v>
      </c>
      <c r="C398" s="95"/>
      <c r="D398" s="95"/>
      <c r="E398" s="96"/>
      <c r="F398" s="96"/>
      <c r="G398" s="95"/>
      <c r="H398" s="115"/>
      <c r="I398" s="112"/>
      <c r="J398" s="112"/>
      <c r="K398" s="113" t="str">
        <f t="shared" si="46"/>
        <v/>
      </c>
      <c r="L398" s="112"/>
      <c r="M398" s="113" t="str">
        <f t="shared" si="47"/>
        <v/>
      </c>
      <c r="N398" s="112"/>
      <c r="O398" s="112">
        <v>0</v>
      </c>
      <c r="P398" s="116">
        <v>0</v>
      </c>
      <c r="Q398" s="126" t="str">
        <f t="shared" si="48"/>
        <v/>
      </c>
      <c r="R398" s="114">
        <f t="shared" si="49"/>
        <v>0</v>
      </c>
      <c r="S398" s="126" t="str">
        <f t="shared" si="45"/>
        <v/>
      </c>
      <c r="T398" s="126" t="str">
        <f t="shared" si="50"/>
        <v/>
      </c>
      <c r="U398" s="100"/>
    </row>
    <row r="399" spans="2:23" s="4" customFormat="1" ht="15.75" x14ac:dyDescent="0.25">
      <c r="B399" s="95">
        <v>396</v>
      </c>
      <c r="C399" s="95"/>
      <c r="D399" s="95"/>
      <c r="E399" s="96"/>
      <c r="F399" s="96"/>
      <c r="G399" s="95"/>
      <c r="H399" s="115"/>
      <c r="I399" s="112"/>
      <c r="J399" s="112"/>
      <c r="K399" s="113" t="str">
        <f t="shared" si="46"/>
        <v/>
      </c>
      <c r="L399" s="112"/>
      <c r="M399" s="113" t="str">
        <f t="shared" si="47"/>
        <v/>
      </c>
      <c r="N399" s="112"/>
      <c r="O399" s="112">
        <v>0</v>
      </c>
      <c r="P399" s="116">
        <v>0</v>
      </c>
      <c r="Q399" s="126" t="str">
        <f t="shared" si="48"/>
        <v/>
      </c>
      <c r="R399" s="114">
        <f t="shared" si="49"/>
        <v>0</v>
      </c>
      <c r="S399" s="126" t="str">
        <f t="shared" si="45"/>
        <v/>
      </c>
      <c r="T399" s="126" t="str">
        <f t="shared" si="50"/>
        <v/>
      </c>
      <c r="U399" s="100"/>
    </row>
    <row r="400" spans="2:23" s="4" customFormat="1" ht="15.75" x14ac:dyDescent="0.25">
      <c r="B400" s="95">
        <v>397</v>
      </c>
      <c r="C400" s="95"/>
      <c r="D400" s="95"/>
      <c r="E400" s="96"/>
      <c r="F400" s="96"/>
      <c r="G400" s="95"/>
      <c r="H400" s="115"/>
      <c r="I400" s="112"/>
      <c r="J400" s="112"/>
      <c r="K400" s="113" t="str">
        <f t="shared" si="46"/>
        <v/>
      </c>
      <c r="L400" s="112"/>
      <c r="M400" s="113" t="str">
        <f t="shared" si="47"/>
        <v/>
      </c>
      <c r="N400" s="112"/>
      <c r="O400" s="112">
        <v>0</v>
      </c>
      <c r="P400" s="116">
        <v>0</v>
      </c>
      <c r="Q400" s="126" t="str">
        <f t="shared" si="48"/>
        <v/>
      </c>
      <c r="R400" s="114">
        <f t="shared" si="49"/>
        <v>0</v>
      </c>
      <c r="S400" s="126" t="str">
        <f t="shared" si="45"/>
        <v/>
      </c>
      <c r="T400" s="126" t="str">
        <f t="shared" si="50"/>
        <v/>
      </c>
      <c r="U400" s="100"/>
    </row>
    <row r="401" spans="2:21" s="4" customFormat="1" ht="15.75" x14ac:dyDescent="0.25">
      <c r="B401" s="95">
        <v>398</v>
      </c>
      <c r="C401" s="95"/>
      <c r="D401" s="95"/>
      <c r="E401" s="96"/>
      <c r="F401" s="96"/>
      <c r="G401" s="95"/>
      <c r="H401" s="115"/>
      <c r="I401" s="112"/>
      <c r="J401" s="112"/>
      <c r="K401" s="113" t="str">
        <f t="shared" si="46"/>
        <v/>
      </c>
      <c r="L401" s="112"/>
      <c r="M401" s="113" t="str">
        <f t="shared" si="47"/>
        <v/>
      </c>
      <c r="N401" s="112"/>
      <c r="O401" s="112">
        <v>0</v>
      </c>
      <c r="P401" s="116">
        <v>0</v>
      </c>
      <c r="Q401" s="126" t="str">
        <f t="shared" si="48"/>
        <v/>
      </c>
      <c r="R401" s="114">
        <f t="shared" si="49"/>
        <v>0</v>
      </c>
      <c r="S401" s="126" t="str">
        <f t="shared" si="45"/>
        <v/>
      </c>
      <c r="T401" s="126" t="str">
        <f t="shared" si="50"/>
        <v/>
      </c>
      <c r="U401" s="100"/>
    </row>
    <row r="402" spans="2:21" s="4" customFormat="1" ht="15.75" x14ac:dyDescent="0.25">
      <c r="B402" s="95">
        <v>399</v>
      </c>
      <c r="C402" s="95"/>
      <c r="D402" s="95"/>
      <c r="E402" s="96"/>
      <c r="F402" s="96"/>
      <c r="G402" s="95"/>
      <c r="H402" s="115"/>
      <c r="I402" s="112"/>
      <c r="J402" s="112"/>
      <c r="K402" s="113" t="str">
        <f t="shared" si="46"/>
        <v/>
      </c>
      <c r="L402" s="112"/>
      <c r="M402" s="113" t="str">
        <f t="shared" si="47"/>
        <v/>
      </c>
      <c r="N402" s="112"/>
      <c r="O402" s="112">
        <v>0</v>
      </c>
      <c r="P402" s="116">
        <v>0</v>
      </c>
      <c r="Q402" s="126" t="str">
        <f t="shared" si="48"/>
        <v/>
      </c>
      <c r="R402" s="114">
        <f t="shared" si="49"/>
        <v>0</v>
      </c>
      <c r="S402" s="126" t="str">
        <f t="shared" si="45"/>
        <v/>
      </c>
      <c r="T402" s="126" t="str">
        <f t="shared" si="50"/>
        <v/>
      </c>
      <c r="U402" s="100"/>
    </row>
    <row r="403" spans="2:21" s="4" customFormat="1" ht="15.75" x14ac:dyDescent="0.25">
      <c r="B403" s="109"/>
      <c r="C403" s="29"/>
      <c r="D403" s="29"/>
      <c r="E403" s="29"/>
      <c r="F403" s="117"/>
      <c r="G403" s="29"/>
      <c r="H403" s="29"/>
      <c r="I403" s="81"/>
      <c r="J403" s="81"/>
      <c r="K403" s="103"/>
      <c r="L403" s="81"/>
      <c r="M403" s="103"/>
      <c r="N403" s="81"/>
      <c r="O403" s="81"/>
      <c r="P403" s="81"/>
      <c r="Q403" s="81"/>
      <c r="R403" s="81"/>
      <c r="S403" s="81"/>
      <c r="T403" s="81"/>
      <c r="U403" s="82"/>
    </row>
    <row r="404" spans="2:21" s="4" customFormat="1" ht="15.75" x14ac:dyDescent="0.25">
      <c r="B404" s="109"/>
      <c r="C404" s="29"/>
      <c r="D404" s="29"/>
      <c r="E404" s="29"/>
      <c r="F404" s="117"/>
      <c r="G404" s="29"/>
      <c r="H404" s="29"/>
      <c r="I404" s="81"/>
      <c r="J404" s="81"/>
      <c r="K404" s="103"/>
      <c r="L404" s="81"/>
      <c r="M404" s="103"/>
      <c r="N404" s="81"/>
      <c r="O404" s="81"/>
      <c r="P404" s="81"/>
      <c r="Q404" s="81"/>
      <c r="R404" s="81"/>
      <c r="S404" s="81"/>
      <c r="T404" s="81"/>
      <c r="U404" s="82"/>
    </row>
    <row r="405" spans="2:21" s="4" customFormat="1" ht="15.75" x14ac:dyDescent="0.25">
      <c r="B405" s="109"/>
      <c r="C405" s="29"/>
      <c r="D405" s="29"/>
      <c r="E405" s="29"/>
      <c r="F405" s="117"/>
      <c r="G405" s="29"/>
      <c r="H405" s="29"/>
      <c r="I405" s="81"/>
      <c r="J405" s="81"/>
      <c r="K405" s="103"/>
      <c r="L405" s="81"/>
      <c r="M405" s="103"/>
      <c r="N405" s="81"/>
      <c r="O405" s="81"/>
      <c r="P405" s="81"/>
      <c r="Q405" s="81"/>
      <c r="R405" s="81"/>
      <c r="S405" s="81"/>
      <c r="T405" s="81"/>
      <c r="U405" s="82"/>
    </row>
    <row r="406" spans="2:21" s="4" customFormat="1" ht="15.75" x14ac:dyDescent="0.25">
      <c r="B406" s="109"/>
      <c r="C406" s="29"/>
      <c r="D406" s="29"/>
      <c r="E406" s="29"/>
      <c r="F406" s="117"/>
      <c r="G406" s="29"/>
      <c r="H406" s="29"/>
      <c r="I406" s="81"/>
      <c r="J406" s="81"/>
      <c r="K406" s="103"/>
      <c r="L406" s="81"/>
      <c r="M406" s="103"/>
      <c r="N406" s="81"/>
      <c r="O406" s="81"/>
      <c r="P406" s="81"/>
      <c r="Q406" s="81"/>
      <c r="R406" s="81"/>
      <c r="S406" s="81"/>
      <c r="T406" s="81"/>
      <c r="U406" s="82"/>
    </row>
    <row r="407" spans="2:21" s="4" customFormat="1" ht="15.75" x14ac:dyDescent="0.25">
      <c r="B407" s="109"/>
      <c r="C407" s="29"/>
      <c r="D407" s="29"/>
      <c r="E407" s="29"/>
      <c r="F407" s="117"/>
      <c r="G407" s="29"/>
      <c r="H407" s="29"/>
      <c r="I407" s="81"/>
      <c r="J407" s="81"/>
      <c r="K407" s="103"/>
      <c r="L407" s="81"/>
      <c r="M407" s="103"/>
      <c r="N407" s="81"/>
      <c r="O407" s="81"/>
      <c r="P407" s="81"/>
      <c r="Q407" s="81"/>
      <c r="R407" s="81"/>
      <c r="S407" s="81"/>
      <c r="T407" s="81"/>
      <c r="U407" s="82"/>
    </row>
    <row r="408" spans="2:21" s="4" customFormat="1" ht="15.75" x14ac:dyDescent="0.25">
      <c r="B408" s="109"/>
      <c r="C408" s="29"/>
      <c r="D408" s="29"/>
      <c r="E408" s="29"/>
      <c r="F408" s="117"/>
      <c r="G408" s="29"/>
      <c r="H408" s="29"/>
      <c r="I408" s="81"/>
      <c r="J408" s="81"/>
      <c r="K408" s="103"/>
      <c r="L408" s="81"/>
      <c r="M408" s="103"/>
      <c r="N408" s="81"/>
      <c r="O408" s="81"/>
      <c r="P408" s="81"/>
      <c r="Q408" s="81"/>
      <c r="R408" s="81"/>
      <c r="S408" s="81"/>
      <c r="T408" s="81"/>
      <c r="U408" s="82"/>
    </row>
    <row r="409" spans="2:21" s="4" customFormat="1" ht="15.75" x14ac:dyDescent="0.25">
      <c r="B409" s="109"/>
      <c r="C409" s="29"/>
      <c r="D409" s="29"/>
      <c r="E409" s="29"/>
      <c r="F409" s="117"/>
      <c r="G409" s="29"/>
      <c r="H409" s="29"/>
      <c r="I409" s="81"/>
      <c r="J409" s="81"/>
      <c r="K409" s="103"/>
      <c r="L409" s="81"/>
      <c r="M409" s="103"/>
      <c r="N409" s="81"/>
      <c r="O409" s="81"/>
      <c r="P409" s="81"/>
      <c r="Q409" s="81"/>
      <c r="R409" s="81"/>
      <c r="S409" s="81"/>
      <c r="T409" s="81"/>
      <c r="U409" s="82"/>
    </row>
    <row r="410" spans="2:21" s="4" customFormat="1" ht="15.75" x14ac:dyDescent="0.25">
      <c r="B410" s="109"/>
      <c r="C410" s="29"/>
      <c r="D410" s="29"/>
      <c r="E410" s="29"/>
      <c r="F410" s="117"/>
      <c r="G410" s="29"/>
      <c r="H410" s="29"/>
      <c r="I410" s="81"/>
      <c r="J410" s="81"/>
      <c r="K410" s="103"/>
      <c r="L410" s="81"/>
      <c r="M410" s="103"/>
      <c r="N410" s="81"/>
      <c r="O410" s="81"/>
      <c r="P410" s="81"/>
      <c r="Q410" s="81"/>
      <c r="R410" s="81"/>
      <c r="S410" s="81"/>
      <c r="T410" s="81"/>
      <c r="U410" s="82"/>
    </row>
    <row r="411" spans="2:21" s="4" customFormat="1" ht="15.75" x14ac:dyDescent="0.25">
      <c r="B411" s="109"/>
      <c r="C411" s="29"/>
      <c r="D411" s="29"/>
      <c r="E411" s="29"/>
      <c r="F411" s="117"/>
      <c r="G411" s="29"/>
      <c r="H411" s="29"/>
      <c r="I411" s="81"/>
      <c r="J411" s="81"/>
      <c r="K411" s="103"/>
      <c r="L411" s="81"/>
      <c r="M411" s="103"/>
      <c r="N411" s="81"/>
      <c r="O411" s="81"/>
      <c r="P411" s="81"/>
      <c r="Q411" s="81"/>
      <c r="R411" s="81"/>
      <c r="S411" s="81"/>
      <c r="T411" s="81"/>
      <c r="U411" s="82"/>
    </row>
    <row r="412" spans="2:21" s="4" customFormat="1" ht="15.75" x14ac:dyDescent="0.25">
      <c r="B412" s="109"/>
      <c r="C412" s="29"/>
      <c r="D412" s="29"/>
      <c r="E412" s="29"/>
      <c r="F412" s="117"/>
      <c r="G412" s="29"/>
      <c r="H412" s="29"/>
      <c r="I412" s="81"/>
      <c r="J412" s="81"/>
      <c r="K412" s="103"/>
      <c r="L412" s="81"/>
      <c r="M412" s="103"/>
      <c r="N412" s="81"/>
      <c r="O412" s="81"/>
      <c r="P412" s="81"/>
      <c r="Q412" s="81"/>
      <c r="R412" s="81"/>
      <c r="S412" s="81"/>
      <c r="T412" s="81"/>
      <c r="U412" s="82"/>
    </row>
    <row r="413" spans="2:21" s="4" customFormat="1" ht="15.75" x14ac:dyDescent="0.25">
      <c r="B413" s="109"/>
      <c r="C413" s="29"/>
      <c r="D413" s="29"/>
      <c r="E413" s="29"/>
      <c r="F413" s="117"/>
      <c r="G413" s="29"/>
      <c r="H413" s="29"/>
      <c r="I413" s="81"/>
      <c r="J413" s="81"/>
      <c r="K413" s="103"/>
      <c r="L413" s="81"/>
      <c r="M413" s="103"/>
      <c r="N413" s="81"/>
      <c r="O413" s="81"/>
      <c r="P413" s="81"/>
      <c r="Q413" s="81"/>
      <c r="R413" s="81"/>
      <c r="S413" s="81"/>
      <c r="T413" s="81"/>
      <c r="U413" s="82"/>
    </row>
    <row r="414" spans="2:21" s="4" customFormat="1" ht="15.75" x14ac:dyDescent="0.25">
      <c r="B414" s="109"/>
      <c r="C414" s="29"/>
      <c r="D414" s="29"/>
      <c r="E414" s="29"/>
      <c r="F414" s="117"/>
      <c r="G414" s="29"/>
      <c r="H414" s="29"/>
      <c r="I414" s="81"/>
      <c r="J414" s="81"/>
      <c r="K414" s="103"/>
      <c r="L414" s="81"/>
      <c r="M414" s="103"/>
      <c r="N414" s="81"/>
      <c r="O414" s="81"/>
      <c r="P414" s="81"/>
      <c r="Q414" s="81"/>
      <c r="R414" s="81"/>
      <c r="S414" s="81"/>
      <c r="T414" s="81"/>
      <c r="U414" s="82"/>
    </row>
    <row r="415" spans="2:21" s="4" customFormat="1" ht="15.75" x14ac:dyDescent="0.25">
      <c r="B415" s="109"/>
      <c r="C415" s="29"/>
      <c r="D415" s="29"/>
      <c r="E415" s="29"/>
      <c r="F415" s="117"/>
      <c r="G415" s="29"/>
      <c r="H415" s="29"/>
      <c r="I415" s="81"/>
      <c r="J415" s="81"/>
      <c r="K415" s="103"/>
      <c r="L415" s="81"/>
      <c r="M415" s="103"/>
      <c r="N415" s="81"/>
      <c r="O415" s="81"/>
      <c r="P415" s="81"/>
      <c r="Q415" s="81"/>
      <c r="R415" s="81"/>
      <c r="S415" s="81"/>
      <c r="T415" s="81"/>
      <c r="U415" s="82"/>
    </row>
    <row r="416" spans="2:21" s="4" customFormat="1" ht="15.75" x14ac:dyDescent="0.25">
      <c r="B416" s="109"/>
      <c r="C416" s="29"/>
      <c r="D416" s="29"/>
      <c r="E416" s="29"/>
      <c r="F416" s="117"/>
      <c r="G416" s="29"/>
      <c r="H416" s="29"/>
      <c r="I416" s="81"/>
      <c r="J416" s="81"/>
      <c r="K416" s="103"/>
      <c r="L416" s="81"/>
      <c r="M416" s="103"/>
      <c r="N416" s="81"/>
      <c r="O416" s="81"/>
      <c r="P416" s="81"/>
      <c r="Q416" s="81"/>
      <c r="R416" s="81"/>
      <c r="S416" s="81"/>
      <c r="T416" s="81"/>
      <c r="U416" s="82"/>
    </row>
    <row r="417" spans="2:21" s="4" customFormat="1" ht="15.75" x14ac:dyDescent="0.25">
      <c r="B417" s="109"/>
      <c r="C417" s="29"/>
      <c r="D417" s="29"/>
      <c r="E417" s="29"/>
      <c r="F417" s="117"/>
      <c r="G417" s="29"/>
      <c r="H417" s="29"/>
      <c r="I417" s="81"/>
      <c r="J417" s="81"/>
      <c r="K417" s="103"/>
      <c r="L417" s="81"/>
      <c r="M417" s="103"/>
      <c r="N417" s="81"/>
      <c r="O417" s="81"/>
      <c r="P417" s="81"/>
      <c r="Q417" s="81"/>
      <c r="R417" s="81"/>
      <c r="S417" s="81"/>
      <c r="T417" s="81"/>
      <c r="U417" s="82"/>
    </row>
    <row r="418" spans="2:21" s="4" customFormat="1" ht="15.75" x14ac:dyDescent="0.25">
      <c r="B418" s="109"/>
      <c r="C418" s="29"/>
      <c r="D418" s="29"/>
      <c r="E418" s="29"/>
      <c r="F418" s="117"/>
      <c r="G418" s="29"/>
      <c r="H418" s="29"/>
      <c r="I418" s="81"/>
      <c r="J418" s="81"/>
      <c r="K418" s="103"/>
      <c r="L418" s="81"/>
      <c r="M418" s="103"/>
      <c r="N418" s="81"/>
      <c r="O418" s="81"/>
      <c r="P418" s="81"/>
      <c r="Q418" s="81"/>
      <c r="R418" s="81"/>
      <c r="S418" s="81"/>
      <c r="T418" s="81"/>
      <c r="U418" s="82"/>
    </row>
    <row r="419" spans="2:21" s="4" customFormat="1" ht="15.75" x14ac:dyDescent="0.25">
      <c r="B419" s="109"/>
      <c r="C419" s="29"/>
      <c r="D419" s="29"/>
      <c r="E419" s="29"/>
      <c r="F419" s="117"/>
      <c r="G419" s="29"/>
      <c r="H419" s="29"/>
      <c r="I419" s="81"/>
      <c r="J419" s="81"/>
      <c r="K419" s="103"/>
      <c r="L419" s="81"/>
      <c r="M419" s="103"/>
      <c r="N419" s="81"/>
      <c r="O419" s="81"/>
      <c r="P419" s="81"/>
      <c r="Q419" s="81"/>
      <c r="R419" s="81"/>
      <c r="S419" s="81"/>
      <c r="T419" s="81"/>
      <c r="U419" s="82"/>
    </row>
    <row r="420" spans="2:21" s="4" customFormat="1" ht="15.75" x14ac:dyDescent="0.25">
      <c r="B420" s="109"/>
      <c r="C420" s="29"/>
      <c r="D420" s="29"/>
      <c r="E420" s="29"/>
      <c r="F420" s="117"/>
      <c r="G420" s="29"/>
      <c r="H420" s="29"/>
      <c r="I420" s="81"/>
      <c r="J420" s="81"/>
      <c r="K420" s="103"/>
      <c r="L420" s="81"/>
      <c r="M420" s="103"/>
      <c r="N420" s="81"/>
      <c r="O420" s="81"/>
      <c r="P420" s="81"/>
      <c r="Q420" s="81"/>
      <c r="R420" s="81"/>
      <c r="S420" s="81"/>
      <c r="T420" s="81"/>
      <c r="U420" s="82"/>
    </row>
    <row r="421" spans="2:21" s="4" customFormat="1" ht="15.75" x14ac:dyDescent="0.25">
      <c r="B421" s="109"/>
      <c r="C421" s="29"/>
      <c r="D421" s="29"/>
      <c r="E421" s="29"/>
      <c r="F421" s="117"/>
      <c r="G421" s="29"/>
      <c r="H421" s="29"/>
      <c r="I421" s="81"/>
      <c r="J421" s="81"/>
      <c r="K421" s="103"/>
      <c r="L421" s="81"/>
      <c r="M421" s="103"/>
      <c r="N421" s="81"/>
      <c r="O421" s="81"/>
      <c r="P421" s="81"/>
      <c r="Q421" s="81"/>
      <c r="R421" s="81"/>
      <c r="S421" s="81"/>
      <c r="T421" s="81"/>
      <c r="U421" s="82"/>
    </row>
    <row r="422" spans="2:21" s="4" customFormat="1" ht="15.75" x14ac:dyDescent="0.25">
      <c r="B422" s="109"/>
      <c r="C422" s="29"/>
      <c r="D422" s="29"/>
      <c r="E422" s="29"/>
      <c r="F422" s="117"/>
      <c r="G422" s="29"/>
      <c r="H422" s="29"/>
      <c r="I422" s="81"/>
      <c r="J422" s="81"/>
      <c r="K422" s="103"/>
      <c r="L422" s="81"/>
      <c r="M422" s="103"/>
      <c r="N422" s="81"/>
      <c r="O422" s="81"/>
      <c r="P422" s="81"/>
      <c r="Q422" s="81"/>
      <c r="R422" s="81"/>
      <c r="S422" s="81"/>
      <c r="T422" s="81"/>
      <c r="U422" s="82"/>
    </row>
    <row r="423" spans="2:21" s="4" customFormat="1" ht="15.75" x14ac:dyDescent="0.25">
      <c r="B423" s="109"/>
      <c r="C423" s="29"/>
      <c r="D423" s="29"/>
      <c r="E423" s="29"/>
      <c r="F423" s="117"/>
      <c r="G423" s="29"/>
      <c r="H423" s="29"/>
      <c r="I423" s="81"/>
      <c r="J423" s="81"/>
      <c r="K423" s="103"/>
      <c r="L423" s="81"/>
      <c r="M423" s="103"/>
      <c r="N423" s="81"/>
      <c r="O423" s="81"/>
      <c r="P423" s="81"/>
      <c r="Q423" s="81"/>
      <c r="R423" s="81"/>
      <c r="S423" s="81"/>
      <c r="T423" s="81"/>
      <c r="U423" s="82"/>
    </row>
    <row r="424" spans="2:21" s="4" customFormat="1" ht="15.75" x14ac:dyDescent="0.25">
      <c r="B424" s="109"/>
      <c r="C424" s="29"/>
      <c r="D424" s="29"/>
      <c r="E424" s="29"/>
      <c r="F424" s="117"/>
      <c r="G424" s="29"/>
      <c r="H424" s="29"/>
      <c r="I424" s="81"/>
      <c r="J424" s="81"/>
      <c r="K424" s="103"/>
      <c r="L424" s="81"/>
      <c r="M424" s="103"/>
      <c r="N424" s="81"/>
      <c r="O424" s="81"/>
      <c r="P424" s="81"/>
      <c r="Q424" s="81"/>
      <c r="R424" s="81"/>
      <c r="S424" s="81"/>
      <c r="T424" s="81"/>
      <c r="U424" s="82"/>
    </row>
    <row r="425" spans="2:21" s="4" customFormat="1" ht="15.75" x14ac:dyDescent="0.25">
      <c r="B425" s="109"/>
      <c r="C425" s="29"/>
      <c r="D425" s="29"/>
      <c r="E425" s="29"/>
      <c r="F425" s="117"/>
      <c r="G425" s="29"/>
      <c r="H425" s="29"/>
      <c r="I425" s="81"/>
      <c r="J425" s="81"/>
      <c r="K425" s="103"/>
      <c r="L425" s="81"/>
      <c r="M425" s="103"/>
      <c r="N425" s="81"/>
      <c r="O425" s="81"/>
      <c r="P425" s="81"/>
      <c r="Q425" s="81"/>
      <c r="R425" s="81"/>
      <c r="S425" s="81"/>
      <c r="T425" s="81"/>
      <c r="U425" s="82"/>
    </row>
    <row r="426" spans="2:21" s="4" customFormat="1" ht="15.75" x14ac:dyDescent="0.25">
      <c r="B426" s="109"/>
      <c r="C426" s="29"/>
      <c r="D426" s="29"/>
      <c r="E426" s="29"/>
      <c r="F426" s="117"/>
      <c r="G426" s="29"/>
      <c r="H426" s="29"/>
      <c r="I426" s="81"/>
      <c r="J426" s="81"/>
      <c r="K426" s="103"/>
      <c r="L426" s="81"/>
      <c r="M426" s="103"/>
      <c r="N426" s="81"/>
      <c r="O426" s="81"/>
      <c r="P426" s="81"/>
      <c r="Q426" s="81"/>
      <c r="R426" s="81"/>
      <c r="S426" s="81"/>
      <c r="T426" s="81"/>
      <c r="U426" s="82"/>
    </row>
    <row r="427" spans="2:21" s="4" customFormat="1" ht="15.75" x14ac:dyDescent="0.25">
      <c r="B427" s="109"/>
      <c r="C427" s="29"/>
      <c r="D427" s="29"/>
      <c r="E427" s="29"/>
      <c r="F427" s="117"/>
      <c r="G427" s="29"/>
      <c r="H427" s="29"/>
      <c r="I427" s="81"/>
      <c r="J427" s="81"/>
      <c r="K427" s="103"/>
      <c r="L427" s="81"/>
      <c r="M427" s="103"/>
      <c r="N427" s="81"/>
      <c r="O427" s="81"/>
      <c r="P427" s="81"/>
      <c r="Q427" s="81"/>
      <c r="R427" s="81"/>
      <c r="S427" s="81"/>
      <c r="T427" s="81"/>
      <c r="U427" s="82"/>
    </row>
    <row r="428" spans="2:21" s="4" customFormat="1" ht="15.75" x14ac:dyDescent="0.25">
      <c r="B428" s="109"/>
      <c r="C428" s="29"/>
      <c r="D428" s="29"/>
      <c r="E428" s="29"/>
      <c r="F428" s="117"/>
      <c r="G428" s="29"/>
      <c r="H428" s="29"/>
      <c r="I428" s="81"/>
      <c r="J428" s="81"/>
      <c r="K428" s="103"/>
      <c r="L428" s="81"/>
      <c r="M428" s="103"/>
      <c r="N428" s="81"/>
      <c r="O428" s="81"/>
      <c r="P428" s="81"/>
      <c r="Q428" s="81"/>
      <c r="R428" s="81"/>
      <c r="S428" s="81"/>
      <c r="T428" s="81"/>
      <c r="U428" s="82"/>
    </row>
    <row r="429" spans="2:21" s="4" customFormat="1" ht="15.75" x14ac:dyDescent="0.25">
      <c r="B429" s="109"/>
      <c r="C429" s="29"/>
      <c r="D429" s="29"/>
      <c r="E429" s="29"/>
      <c r="F429" s="117"/>
      <c r="G429" s="29"/>
      <c r="H429" s="29"/>
      <c r="I429" s="81"/>
      <c r="J429" s="81"/>
      <c r="K429" s="103"/>
      <c r="L429" s="81"/>
      <c r="M429" s="103"/>
      <c r="N429" s="81"/>
      <c r="O429" s="81"/>
      <c r="P429" s="81"/>
      <c r="Q429" s="81"/>
      <c r="R429" s="81"/>
      <c r="S429" s="81"/>
      <c r="T429" s="81"/>
      <c r="U429" s="82"/>
    </row>
    <row r="430" spans="2:21" s="4" customFormat="1" ht="15.75" x14ac:dyDescent="0.25">
      <c r="B430" s="109"/>
      <c r="C430" s="29"/>
      <c r="D430" s="29"/>
      <c r="E430" s="29"/>
      <c r="F430" s="117"/>
      <c r="G430" s="29"/>
      <c r="H430" s="29"/>
      <c r="I430" s="81"/>
      <c r="J430" s="81"/>
      <c r="K430" s="103"/>
      <c r="L430" s="81"/>
      <c r="M430" s="103"/>
      <c r="N430" s="81"/>
      <c r="O430" s="81"/>
      <c r="P430" s="81"/>
      <c r="Q430" s="81"/>
      <c r="R430" s="81"/>
      <c r="S430" s="81"/>
      <c r="T430" s="81"/>
      <c r="U430" s="82"/>
    </row>
    <row r="431" spans="2:21" s="4" customFormat="1" ht="15.75" x14ac:dyDescent="0.25">
      <c r="B431" s="109"/>
      <c r="C431" s="29"/>
      <c r="D431" s="29"/>
      <c r="E431" s="29"/>
      <c r="F431" s="117"/>
      <c r="G431" s="29"/>
      <c r="H431" s="29"/>
      <c r="I431" s="81"/>
      <c r="J431" s="81"/>
      <c r="K431" s="103"/>
      <c r="L431" s="81"/>
      <c r="M431" s="103"/>
      <c r="N431" s="81"/>
      <c r="O431" s="81"/>
      <c r="P431" s="81"/>
      <c r="Q431" s="81"/>
      <c r="R431" s="81"/>
      <c r="S431" s="81"/>
      <c r="T431" s="81"/>
      <c r="U431" s="82"/>
    </row>
    <row r="432" spans="2:21" s="4" customFormat="1" ht="15.75" x14ac:dyDescent="0.25">
      <c r="B432" s="109"/>
      <c r="C432" s="29"/>
      <c r="D432" s="29"/>
      <c r="E432" s="29"/>
      <c r="F432" s="117"/>
      <c r="G432" s="29"/>
      <c r="H432" s="29"/>
      <c r="I432" s="81"/>
      <c r="J432" s="81"/>
      <c r="K432" s="103"/>
      <c r="L432" s="81"/>
      <c r="M432" s="103"/>
      <c r="N432" s="81"/>
      <c r="O432" s="81"/>
      <c r="P432" s="81"/>
      <c r="Q432" s="81"/>
      <c r="R432" s="81"/>
      <c r="S432" s="81"/>
      <c r="T432" s="81"/>
      <c r="U432" s="82"/>
    </row>
    <row r="433" spans="2:21" s="4" customFormat="1" ht="15.75" x14ac:dyDescent="0.25">
      <c r="B433" s="109"/>
      <c r="C433" s="29"/>
      <c r="D433" s="29"/>
      <c r="E433" s="29"/>
      <c r="F433" s="117"/>
      <c r="G433" s="29"/>
      <c r="H433" s="29"/>
      <c r="I433" s="81"/>
      <c r="J433" s="81"/>
      <c r="K433" s="103"/>
      <c r="L433" s="81"/>
      <c r="M433" s="103"/>
      <c r="N433" s="81"/>
      <c r="O433" s="81"/>
      <c r="P433" s="81"/>
      <c r="Q433" s="81"/>
      <c r="R433" s="81"/>
      <c r="S433" s="81"/>
      <c r="T433" s="81"/>
      <c r="U433" s="82"/>
    </row>
    <row r="434" spans="2:21" s="4" customFormat="1" ht="15.75" x14ac:dyDescent="0.25">
      <c r="B434" s="109"/>
      <c r="C434" s="29"/>
      <c r="D434" s="29"/>
      <c r="E434" s="29"/>
      <c r="F434" s="117"/>
      <c r="G434" s="29"/>
      <c r="H434" s="29"/>
      <c r="I434" s="81"/>
      <c r="J434" s="81"/>
      <c r="K434" s="103"/>
      <c r="L434" s="81"/>
      <c r="M434" s="103"/>
      <c r="N434" s="81"/>
      <c r="O434" s="81"/>
      <c r="P434" s="81"/>
      <c r="Q434" s="81"/>
      <c r="R434" s="81"/>
      <c r="S434" s="81"/>
      <c r="T434" s="81"/>
      <c r="U434" s="82"/>
    </row>
    <row r="435" spans="2:21" s="4" customFormat="1" ht="15.75" x14ac:dyDescent="0.25">
      <c r="B435" s="109"/>
      <c r="C435" s="29"/>
      <c r="D435" s="29"/>
      <c r="E435" s="29"/>
      <c r="F435" s="117"/>
      <c r="G435" s="29"/>
      <c r="H435" s="29"/>
      <c r="I435" s="81"/>
      <c r="J435" s="81"/>
      <c r="K435" s="103"/>
      <c r="L435" s="81"/>
      <c r="M435" s="103"/>
      <c r="N435" s="81"/>
      <c r="O435" s="81"/>
      <c r="P435" s="81"/>
      <c r="Q435" s="81"/>
      <c r="R435" s="81"/>
      <c r="S435" s="81"/>
      <c r="T435" s="81"/>
      <c r="U435" s="82"/>
    </row>
    <row r="436" spans="2:21" s="4" customFormat="1" ht="15.75" x14ac:dyDescent="0.25">
      <c r="B436" s="109"/>
      <c r="C436" s="29"/>
      <c r="D436" s="29"/>
      <c r="E436" s="29"/>
      <c r="F436" s="117"/>
      <c r="G436" s="29"/>
      <c r="H436" s="29"/>
      <c r="I436" s="81"/>
      <c r="J436" s="81"/>
      <c r="K436" s="103"/>
      <c r="L436" s="81"/>
      <c r="M436" s="103"/>
      <c r="N436" s="81"/>
      <c r="O436" s="81"/>
      <c r="P436" s="81"/>
      <c r="Q436" s="81"/>
      <c r="R436" s="81"/>
      <c r="S436" s="81"/>
      <c r="T436" s="81"/>
      <c r="U436" s="82"/>
    </row>
    <row r="437" spans="2:21" s="4" customFormat="1" ht="15.75" x14ac:dyDescent="0.25">
      <c r="B437" s="109"/>
      <c r="C437" s="29"/>
      <c r="D437" s="29"/>
      <c r="E437" s="29"/>
      <c r="F437" s="117"/>
      <c r="G437" s="29"/>
      <c r="H437" s="29"/>
      <c r="I437" s="81"/>
      <c r="J437" s="81"/>
      <c r="K437" s="103"/>
      <c r="L437" s="81"/>
      <c r="M437" s="103"/>
      <c r="N437" s="81"/>
      <c r="O437" s="81"/>
      <c r="P437" s="81"/>
      <c r="Q437" s="81"/>
      <c r="R437" s="81"/>
      <c r="S437" s="81"/>
      <c r="T437" s="81"/>
      <c r="U437" s="82"/>
    </row>
    <row r="438" spans="2:21" s="4" customFormat="1" ht="15.75" x14ac:dyDescent="0.25">
      <c r="B438" s="109"/>
      <c r="C438" s="29"/>
      <c r="D438" s="29"/>
      <c r="E438" s="29"/>
      <c r="F438" s="117"/>
      <c r="G438" s="29"/>
      <c r="H438" s="29"/>
      <c r="I438" s="81"/>
      <c r="J438" s="81"/>
      <c r="K438" s="103"/>
      <c r="L438" s="81"/>
      <c r="M438" s="103"/>
      <c r="N438" s="81"/>
      <c r="O438" s="81"/>
      <c r="P438" s="81"/>
      <c r="Q438" s="81"/>
      <c r="R438" s="81"/>
      <c r="S438" s="81"/>
      <c r="T438" s="81"/>
      <c r="U438" s="82"/>
    </row>
    <row r="439" spans="2:21" s="4" customFormat="1" ht="15.75" x14ac:dyDescent="0.25">
      <c r="B439" s="109"/>
      <c r="C439" s="29"/>
      <c r="D439" s="29"/>
      <c r="E439" s="29"/>
      <c r="F439" s="117"/>
      <c r="G439" s="29"/>
      <c r="H439" s="29"/>
      <c r="I439" s="81"/>
      <c r="J439" s="81"/>
      <c r="K439" s="103"/>
      <c r="L439" s="81"/>
      <c r="M439" s="103"/>
      <c r="N439" s="81"/>
      <c r="O439" s="81"/>
      <c r="P439" s="81"/>
      <c r="Q439" s="81"/>
      <c r="R439" s="81"/>
      <c r="S439" s="81"/>
      <c r="T439" s="81"/>
      <c r="U439" s="82"/>
    </row>
    <row r="440" spans="2:21" s="4" customFormat="1" ht="15.75" x14ac:dyDescent="0.25">
      <c r="B440" s="109"/>
      <c r="C440" s="29"/>
      <c r="D440" s="29"/>
      <c r="E440" s="29"/>
      <c r="F440" s="117"/>
      <c r="G440" s="29"/>
      <c r="H440" s="29"/>
      <c r="I440" s="81"/>
      <c r="J440" s="81"/>
      <c r="K440" s="103"/>
      <c r="L440" s="81"/>
      <c r="M440" s="103"/>
      <c r="N440" s="81"/>
      <c r="O440" s="81"/>
      <c r="P440" s="81"/>
      <c r="Q440" s="81"/>
      <c r="R440" s="81"/>
      <c r="S440" s="81"/>
      <c r="T440" s="81"/>
      <c r="U440" s="82"/>
    </row>
    <row r="441" spans="2:21" s="4" customFormat="1" ht="15.75" x14ac:dyDescent="0.25">
      <c r="B441" s="109"/>
      <c r="C441" s="29"/>
      <c r="D441" s="29"/>
      <c r="E441" s="29"/>
      <c r="F441" s="117"/>
      <c r="G441" s="29"/>
      <c r="H441" s="29"/>
      <c r="I441" s="81"/>
      <c r="J441" s="81"/>
      <c r="K441" s="103"/>
      <c r="L441" s="81"/>
      <c r="M441" s="103"/>
      <c r="N441" s="81"/>
      <c r="O441" s="81"/>
      <c r="P441" s="81"/>
      <c r="Q441" s="81"/>
      <c r="R441" s="81"/>
      <c r="S441" s="81"/>
      <c r="T441" s="81"/>
      <c r="U441" s="82"/>
    </row>
    <row r="442" spans="2:21" s="4" customFormat="1" ht="15.75" x14ac:dyDescent="0.25">
      <c r="B442" s="109"/>
      <c r="C442" s="29"/>
      <c r="D442" s="29"/>
      <c r="E442" s="29"/>
      <c r="F442" s="117"/>
      <c r="G442" s="29"/>
      <c r="H442" s="29"/>
      <c r="I442" s="81"/>
      <c r="J442" s="81"/>
      <c r="K442" s="103"/>
      <c r="L442" s="81"/>
      <c r="M442" s="103"/>
      <c r="N442" s="81"/>
      <c r="O442" s="81"/>
      <c r="P442" s="81"/>
      <c r="Q442" s="81"/>
      <c r="R442" s="81"/>
      <c r="S442" s="81"/>
      <c r="T442" s="81"/>
      <c r="U442" s="82"/>
    </row>
    <row r="443" spans="2:21" s="4" customFormat="1" ht="15.75" x14ac:dyDescent="0.25">
      <c r="B443" s="109"/>
      <c r="C443" s="29"/>
      <c r="D443" s="29"/>
      <c r="E443" s="29"/>
      <c r="F443" s="117"/>
      <c r="G443" s="29"/>
      <c r="H443" s="29"/>
      <c r="I443" s="81"/>
      <c r="J443" s="81"/>
      <c r="K443" s="103"/>
      <c r="L443" s="81"/>
      <c r="M443" s="103"/>
      <c r="N443" s="81"/>
      <c r="O443" s="81"/>
      <c r="P443" s="81"/>
      <c r="Q443" s="81"/>
      <c r="R443" s="81"/>
      <c r="S443" s="81"/>
      <c r="T443" s="81"/>
      <c r="U443" s="82"/>
    </row>
    <row r="444" spans="2:21" s="4" customFormat="1" ht="15.75" x14ac:dyDescent="0.25">
      <c r="B444" s="109"/>
      <c r="C444" s="29"/>
      <c r="D444" s="29"/>
      <c r="E444" s="29"/>
      <c r="F444" s="117"/>
      <c r="G444" s="29"/>
      <c r="H444" s="29"/>
      <c r="I444" s="81"/>
      <c r="J444" s="81"/>
      <c r="K444" s="103"/>
      <c r="L444" s="81"/>
      <c r="M444" s="103"/>
      <c r="N444" s="81"/>
      <c r="O444" s="81"/>
      <c r="P444" s="81"/>
      <c r="Q444" s="81"/>
      <c r="R444" s="81"/>
      <c r="S444" s="81"/>
      <c r="T444" s="81"/>
      <c r="U444" s="82"/>
    </row>
    <row r="445" spans="2:21" s="4" customFormat="1" ht="15.75" x14ac:dyDescent="0.25">
      <c r="B445" s="109"/>
      <c r="C445" s="29"/>
      <c r="D445" s="29"/>
      <c r="E445" s="29"/>
      <c r="F445" s="117"/>
      <c r="G445" s="29"/>
      <c r="H445" s="29"/>
      <c r="I445" s="81"/>
      <c r="J445" s="81"/>
      <c r="K445" s="103"/>
      <c r="L445" s="81"/>
      <c r="M445" s="103"/>
      <c r="N445" s="81"/>
      <c r="O445" s="81"/>
      <c r="P445" s="81"/>
      <c r="Q445" s="81"/>
      <c r="R445" s="81"/>
      <c r="S445" s="81"/>
      <c r="T445" s="81"/>
      <c r="U445" s="82"/>
    </row>
    <row r="446" spans="2:21" s="4" customFormat="1" ht="15.75" x14ac:dyDescent="0.25">
      <c r="B446" s="109"/>
      <c r="C446" s="29"/>
      <c r="D446" s="29"/>
      <c r="E446" s="29"/>
      <c r="F446" s="117"/>
      <c r="G446" s="29"/>
      <c r="H446" s="29"/>
      <c r="I446" s="81"/>
      <c r="J446" s="81"/>
      <c r="K446" s="103"/>
      <c r="L446" s="81"/>
      <c r="M446" s="103"/>
      <c r="N446" s="81"/>
      <c r="O446" s="81"/>
      <c r="P446" s="81"/>
      <c r="Q446" s="81"/>
      <c r="R446" s="81"/>
      <c r="S446" s="81"/>
      <c r="T446" s="81"/>
      <c r="U446" s="82"/>
    </row>
    <row r="447" spans="2:21" s="4" customFormat="1" ht="15.75" x14ac:dyDescent="0.25">
      <c r="B447" s="109"/>
      <c r="C447" s="29"/>
      <c r="D447" s="29"/>
      <c r="E447" s="29"/>
      <c r="F447" s="117"/>
      <c r="G447" s="29"/>
      <c r="H447" s="29"/>
      <c r="I447" s="81"/>
      <c r="J447" s="81"/>
      <c r="K447" s="103"/>
      <c r="L447" s="81"/>
      <c r="M447" s="103"/>
      <c r="N447" s="81"/>
      <c r="O447" s="81"/>
      <c r="P447" s="81"/>
      <c r="Q447" s="81"/>
      <c r="R447" s="81"/>
      <c r="S447" s="81"/>
      <c r="T447" s="81"/>
      <c r="U447" s="82"/>
    </row>
    <row r="448" spans="2:21" s="4" customFormat="1" ht="15.75" x14ac:dyDescent="0.25">
      <c r="B448" s="109"/>
      <c r="C448" s="29"/>
      <c r="D448" s="29"/>
      <c r="E448" s="29"/>
      <c r="F448" s="117"/>
      <c r="G448" s="29"/>
      <c r="H448" s="29"/>
      <c r="I448" s="81"/>
      <c r="J448" s="81"/>
      <c r="K448" s="103"/>
      <c r="L448" s="81"/>
      <c r="M448" s="103"/>
      <c r="N448" s="81"/>
      <c r="O448" s="81"/>
      <c r="P448" s="81"/>
      <c r="Q448" s="81"/>
      <c r="R448" s="81"/>
      <c r="S448" s="81"/>
      <c r="T448" s="81"/>
      <c r="U448" s="82"/>
    </row>
    <row r="449" spans="2:21" s="4" customFormat="1" ht="15.75" x14ac:dyDescent="0.25">
      <c r="B449" s="109"/>
      <c r="C449" s="29"/>
      <c r="D449" s="29"/>
      <c r="E449" s="29"/>
      <c r="F449" s="117"/>
      <c r="G449" s="29"/>
      <c r="H449" s="29"/>
      <c r="I449" s="81"/>
      <c r="J449" s="81"/>
      <c r="K449" s="103"/>
      <c r="L449" s="81"/>
      <c r="M449" s="103"/>
      <c r="N449" s="81"/>
      <c r="O449" s="81"/>
      <c r="P449" s="81"/>
      <c r="Q449" s="81"/>
      <c r="R449" s="81"/>
      <c r="S449" s="81"/>
      <c r="T449" s="81"/>
      <c r="U449" s="82"/>
    </row>
    <row r="450" spans="2:21" s="4" customFormat="1" ht="15.75" x14ac:dyDescent="0.25">
      <c r="B450" s="109"/>
      <c r="C450" s="29"/>
      <c r="D450" s="29"/>
      <c r="E450" s="29"/>
      <c r="F450" s="117"/>
      <c r="G450" s="29"/>
      <c r="H450" s="29"/>
      <c r="I450" s="81"/>
      <c r="J450" s="81"/>
      <c r="K450" s="103"/>
      <c r="L450" s="81"/>
      <c r="M450" s="103"/>
      <c r="N450" s="81"/>
      <c r="O450" s="81"/>
      <c r="P450" s="81"/>
      <c r="Q450" s="81"/>
      <c r="R450" s="81"/>
      <c r="S450" s="81"/>
      <c r="T450" s="81"/>
      <c r="U450" s="82"/>
    </row>
    <row r="451" spans="2:21" s="4" customFormat="1" ht="15.75" x14ac:dyDescent="0.25">
      <c r="B451" s="109"/>
      <c r="C451" s="29"/>
      <c r="D451" s="29"/>
      <c r="E451" s="29"/>
      <c r="F451" s="117"/>
      <c r="G451" s="29"/>
      <c r="H451" s="29"/>
      <c r="I451" s="81"/>
      <c r="J451" s="81"/>
      <c r="K451" s="103"/>
      <c r="L451" s="81"/>
      <c r="M451" s="103"/>
      <c r="N451" s="81"/>
      <c r="O451" s="81"/>
      <c r="P451" s="81"/>
      <c r="Q451" s="81"/>
      <c r="R451" s="81"/>
      <c r="S451" s="81"/>
      <c r="T451" s="81"/>
      <c r="U451" s="82"/>
    </row>
    <row r="452" spans="2:21" s="4" customFormat="1" ht="15.75" x14ac:dyDescent="0.25">
      <c r="B452" s="109"/>
      <c r="C452" s="29"/>
      <c r="D452" s="29"/>
      <c r="E452" s="29"/>
      <c r="F452" s="117"/>
      <c r="G452" s="29"/>
      <c r="H452" s="29"/>
      <c r="I452" s="81"/>
      <c r="J452" s="81"/>
      <c r="K452" s="103"/>
      <c r="L452" s="81"/>
      <c r="M452" s="103"/>
      <c r="N452" s="81"/>
      <c r="O452" s="81"/>
      <c r="P452" s="81"/>
      <c r="Q452" s="81"/>
      <c r="R452" s="81"/>
      <c r="S452" s="81"/>
      <c r="T452" s="81"/>
      <c r="U452" s="82"/>
    </row>
    <row r="453" spans="2:21" s="4" customFormat="1" ht="15.75" x14ac:dyDescent="0.25">
      <c r="B453" s="109"/>
      <c r="C453" s="29"/>
      <c r="D453" s="29"/>
      <c r="E453" s="29"/>
      <c r="F453" s="117"/>
      <c r="G453" s="29"/>
      <c r="H453" s="29"/>
      <c r="I453" s="81"/>
      <c r="J453" s="81"/>
      <c r="K453" s="103"/>
      <c r="L453" s="81"/>
      <c r="M453" s="103"/>
      <c r="N453" s="81"/>
      <c r="O453" s="81"/>
      <c r="P453" s="81"/>
      <c r="Q453" s="81"/>
      <c r="R453" s="81"/>
      <c r="S453" s="81"/>
      <c r="T453" s="81"/>
      <c r="U453" s="82"/>
    </row>
    <row r="454" spans="2:21" s="4" customFormat="1" ht="15.75" x14ac:dyDescent="0.25">
      <c r="B454" s="109"/>
      <c r="C454" s="29"/>
      <c r="D454" s="29"/>
      <c r="E454" s="29"/>
      <c r="F454" s="117"/>
      <c r="G454" s="29"/>
      <c r="H454" s="29"/>
      <c r="I454" s="81"/>
      <c r="J454" s="81"/>
      <c r="K454" s="103"/>
      <c r="L454" s="81"/>
      <c r="M454" s="103"/>
      <c r="N454" s="81"/>
      <c r="O454" s="81"/>
      <c r="P454" s="81"/>
      <c r="Q454" s="81"/>
      <c r="R454" s="81"/>
      <c r="S454" s="81"/>
      <c r="T454" s="81"/>
      <c r="U454" s="82"/>
    </row>
    <row r="455" spans="2:21" s="4" customFormat="1" ht="15.75" x14ac:dyDescent="0.25">
      <c r="B455" s="109"/>
      <c r="C455" s="29"/>
      <c r="D455" s="29"/>
      <c r="E455" s="29"/>
      <c r="F455" s="117"/>
      <c r="G455" s="29"/>
      <c r="H455" s="29"/>
      <c r="I455" s="81"/>
      <c r="J455" s="81"/>
      <c r="K455" s="103"/>
      <c r="L455" s="81"/>
      <c r="M455" s="103"/>
      <c r="N455" s="81"/>
      <c r="O455" s="81"/>
      <c r="P455" s="81"/>
      <c r="Q455" s="81"/>
      <c r="R455" s="81"/>
      <c r="S455" s="81"/>
      <c r="T455" s="81"/>
      <c r="U455" s="82"/>
    </row>
    <row r="456" spans="2:21" s="4" customFormat="1" ht="15.75" x14ac:dyDescent="0.25">
      <c r="B456" s="109"/>
      <c r="C456" s="29"/>
      <c r="D456" s="29"/>
      <c r="E456" s="29"/>
      <c r="F456" s="117"/>
      <c r="G456" s="29"/>
      <c r="H456" s="29"/>
      <c r="I456" s="81"/>
      <c r="J456" s="81"/>
      <c r="K456" s="103"/>
      <c r="L456" s="81"/>
      <c r="M456" s="103"/>
      <c r="N456" s="81"/>
      <c r="O456" s="81"/>
      <c r="P456" s="81"/>
      <c r="Q456" s="81"/>
      <c r="R456" s="81"/>
      <c r="S456" s="81"/>
      <c r="T456" s="81"/>
      <c r="U456" s="82"/>
    </row>
    <row r="457" spans="2:21" s="4" customFormat="1" ht="15.75" x14ac:dyDescent="0.25">
      <c r="B457" s="109"/>
      <c r="C457" s="29"/>
      <c r="D457" s="29"/>
      <c r="E457" s="29"/>
      <c r="F457" s="117"/>
      <c r="G457" s="29"/>
      <c r="H457" s="29"/>
      <c r="I457" s="81"/>
      <c r="J457" s="81"/>
      <c r="K457" s="103"/>
      <c r="L457" s="81"/>
      <c r="M457" s="103"/>
      <c r="N457" s="81"/>
      <c r="O457" s="81"/>
      <c r="P457" s="81"/>
      <c r="Q457" s="81"/>
      <c r="R457" s="81"/>
      <c r="S457" s="81"/>
      <c r="T457" s="81"/>
      <c r="U457" s="82"/>
    </row>
    <row r="458" spans="2:21" s="4" customFormat="1" ht="15.75" x14ac:dyDescent="0.25">
      <c r="B458" s="109"/>
      <c r="C458" s="29"/>
      <c r="D458" s="29"/>
      <c r="E458" s="29"/>
      <c r="F458" s="117"/>
      <c r="G458" s="29"/>
      <c r="H458" s="29"/>
      <c r="I458" s="81"/>
      <c r="J458" s="81"/>
      <c r="K458" s="103"/>
      <c r="L458" s="81"/>
      <c r="M458" s="103"/>
      <c r="N458" s="81"/>
      <c r="O458" s="81"/>
      <c r="P458" s="81"/>
      <c r="Q458" s="81"/>
      <c r="R458" s="81"/>
      <c r="S458" s="81"/>
      <c r="T458" s="81"/>
      <c r="U458" s="82"/>
    </row>
    <row r="459" spans="2:21" s="4" customFormat="1" ht="15.75" x14ac:dyDescent="0.25">
      <c r="B459" s="109"/>
      <c r="C459" s="29"/>
      <c r="D459" s="29"/>
      <c r="E459" s="29"/>
      <c r="F459" s="117"/>
      <c r="G459" s="29"/>
      <c r="H459" s="29"/>
      <c r="I459" s="81"/>
      <c r="J459" s="81"/>
      <c r="K459" s="103"/>
      <c r="L459" s="81"/>
      <c r="M459" s="103"/>
      <c r="N459" s="81"/>
      <c r="O459" s="81"/>
      <c r="P459" s="81"/>
      <c r="Q459" s="81"/>
      <c r="R459" s="81"/>
      <c r="S459" s="81"/>
      <c r="T459" s="81"/>
      <c r="U459" s="82"/>
    </row>
    <row r="460" spans="2:21" s="4" customFormat="1" ht="15.75" x14ac:dyDescent="0.25">
      <c r="B460" s="109"/>
      <c r="C460" s="29"/>
      <c r="D460" s="29"/>
      <c r="E460" s="29"/>
      <c r="F460" s="117"/>
      <c r="G460" s="29"/>
      <c r="H460" s="29"/>
      <c r="I460" s="81"/>
      <c r="J460" s="81"/>
      <c r="K460" s="103"/>
      <c r="L460" s="81"/>
      <c r="M460" s="103"/>
      <c r="N460" s="81"/>
      <c r="O460" s="81"/>
      <c r="P460" s="81"/>
      <c r="Q460" s="81"/>
      <c r="R460" s="81"/>
      <c r="S460" s="81"/>
      <c r="T460" s="81"/>
      <c r="U460" s="82"/>
    </row>
    <row r="461" spans="2:21" s="4" customFormat="1" ht="15.75" x14ac:dyDescent="0.25">
      <c r="B461" s="109"/>
      <c r="C461" s="29"/>
      <c r="D461" s="29"/>
      <c r="E461" s="29"/>
      <c r="F461" s="117"/>
      <c r="G461" s="29"/>
      <c r="H461" s="29"/>
      <c r="I461" s="81"/>
      <c r="J461" s="81"/>
      <c r="K461" s="103"/>
      <c r="L461" s="81"/>
      <c r="M461" s="103"/>
      <c r="N461" s="81"/>
      <c r="O461" s="81"/>
      <c r="P461" s="81"/>
      <c r="Q461" s="81"/>
      <c r="R461" s="81"/>
      <c r="S461" s="81"/>
      <c r="T461" s="81"/>
      <c r="U461" s="82"/>
    </row>
    <row r="462" spans="2:21" s="4" customFormat="1" ht="15.75" x14ac:dyDescent="0.25">
      <c r="B462" s="109"/>
      <c r="C462" s="29"/>
      <c r="D462" s="29"/>
      <c r="E462" s="29"/>
      <c r="F462" s="117"/>
      <c r="G462" s="29"/>
      <c r="H462" s="29"/>
      <c r="I462" s="81"/>
      <c r="J462" s="81"/>
      <c r="K462" s="103"/>
      <c r="L462" s="81"/>
      <c r="M462" s="103"/>
      <c r="N462" s="81"/>
      <c r="O462" s="81"/>
      <c r="P462" s="81"/>
      <c r="Q462" s="81"/>
      <c r="R462" s="81"/>
      <c r="S462" s="81"/>
      <c r="T462" s="81"/>
      <c r="U462" s="82"/>
    </row>
    <row r="463" spans="2:21" s="4" customFormat="1" ht="15.75" x14ac:dyDescent="0.25">
      <c r="B463" s="109"/>
      <c r="C463" s="29"/>
      <c r="D463" s="29"/>
      <c r="E463" s="29"/>
      <c r="F463" s="117"/>
      <c r="G463" s="29"/>
      <c r="H463" s="29"/>
      <c r="I463" s="81"/>
      <c r="J463" s="81"/>
      <c r="K463" s="103"/>
      <c r="L463" s="81"/>
      <c r="M463" s="103"/>
      <c r="N463" s="81"/>
      <c r="O463" s="81"/>
      <c r="P463" s="81"/>
      <c r="Q463" s="81"/>
      <c r="R463" s="81"/>
      <c r="S463" s="81"/>
      <c r="T463" s="81"/>
      <c r="U463" s="82"/>
    </row>
    <row r="464" spans="2:21" s="4" customFormat="1" ht="15.75" x14ac:dyDescent="0.25">
      <c r="B464" s="109"/>
      <c r="C464" s="29"/>
      <c r="D464" s="29"/>
      <c r="E464" s="29"/>
      <c r="F464" s="117"/>
      <c r="G464" s="29"/>
      <c r="H464" s="29"/>
      <c r="I464" s="81"/>
      <c r="J464" s="81"/>
      <c r="K464" s="103"/>
      <c r="L464" s="81"/>
      <c r="M464" s="103"/>
      <c r="N464" s="81"/>
      <c r="O464" s="81"/>
      <c r="P464" s="81"/>
      <c r="Q464" s="81"/>
      <c r="R464" s="81"/>
      <c r="S464" s="81"/>
      <c r="T464" s="81"/>
      <c r="U464" s="82"/>
    </row>
    <row r="465" spans="2:21" s="4" customFormat="1" ht="15.75" x14ac:dyDescent="0.25">
      <c r="B465" s="109"/>
      <c r="C465" s="29"/>
      <c r="D465" s="29"/>
      <c r="E465" s="29"/>
      <c r="F465" s="117"/>
      <c r="G465" s="29"/>
      <c r="H465" s="29"/>
      <c r="I465" s="81"/>
      <c r="J465" s="81"/>
      <c r="K465" s="103"/>
      <c r="L465" s="81"/>
      <c r="M465" s="103"/>
      <c r="N465" s="81"/>
      <c r="O465" s="81"/>
      <c r="P465" s="81"/>
      <c r="Q465" s="81"/>
      <c r="R465" s="81"/>
      <c r="S465" s="81"/>
      <c r="T465" s="81"/>
      <c r="U465" s="82"/>
    </row>
    <row r="466" spans="2:21" s="4" customFormat="1" ht="15.75" x14ac:dyDescent="0.25">
      <c r="B466" s="109"/>
      <c r="C466" s="29"/>
      <c r="D466" s="29"/>
      <c r="E466" s="29"/>
      <c r="F466" s="117"/>
      <c r="G466" s="29"/>
      <c r="H466" s="29"/>
      <c r="I466" s="81"/>
      <c r="J466" s="81"/>
      <c r="K466" s="103"/>
      <c r="L466" s="81"/>
      <c r="M466" s="103"/>
      <c r="N466" s="81"/>
      <c r="O466" s="81"/>
      <c r="P466" s="81"/>
      <c r="Q466" s="81"/>
      <c r="R466" s="81"/>
      <c r="S466" s="81"/>
      <c r="T466" s="81"/>
      <c r="U466" s="82"/>
    </row>
    <row r="467" spans="2:21" s="4" customFormat="1" ht="15.75" x14ac:dyDescent="0.25">
      <c r="B467" s="109"/>
      <c r="C467" s="29"/>
      <c r="D467" s="29"/>
      <c r="E467" s="29"/>
      <c r="F467" s="117"/>
      <c r="G467" s="29"/>
      <c r="H467" s="29"/>
      <c r="I467" s="81"/>
      <c r="J467" s="81"/>
      <c r="K467" s="103"/>
      <c r="L467" s="81"/>
      <c r="M467" s="103"/>
      <c r="N467" s="81"/>
      <c r="O467" s="81"/>
      <c r="P467" s="81"/>
      <c r="Q467" s="81"/>
      <c r="R467" s="81"/>
      <c r="S467" s="81"/>
      <c r="T467" s="81"/>
      <c r="U467" s="82"/>
    </row>
    <row r="468" spans="2:21" s="4" customFormat="1" ht="15.75" x14ac:dyDescent="0.25">
      <c r="B468" s="109"/>
      <c r="C468" s="29"/>
      <c r="D468" s="29"/>
      <c r="E468" s="29"/>
      <c r="F468" s="117"/>
      <c r="G468" s="29"/>
      <c r="H468" s="29"/>
      <c r="I468" s="81"/>
      <c r="J468" s="81"/>
      <c r="K468" s="103"/>
      <c r="L468" s="81"/>
      <c r="M468" s="103"/>
      <c r="N468" s="81"/>
      <c r="O468" s="81"/>
      <c r="P468" s="81"/>
      <c r="Q468" s="81"/>
      <c r="R468" s="81"/>
      <c r="S468" s="81"/>
      <c r="T468" s="81"/>
      <c r="U468" s="82"/>
    </row>
    <row r="469" spans="2:21" s="4" customFormat="1" ht="15.75" x14ac:dyDescent="0.25">
      <c r="B469" s="109"/>
      <c r="C469" s="29"/>
      <c r="D469" s="29"/>
      <c r="E469" s="29"/>
      <c r="F469" s="117"/>
      <c r="G469" s="29"/>
      <c r="H469" s="29"/>
      <c r="I469" s="81"/>
      <c r="J469" s="81"/>
      <c r="K469" s="103"/>
      <c r="L469" s="81"/>
      <c r="M469" s="103"/>
      <c r="N469" s="81"/>
      <c r="O469" s="81"/>
      <c r="P469" s="81"/>
      <c r="Q469" s="81"/>
      <c r="R469" s="81"/>
      <c r="S469" s="81"/>
      <c r="T469" s="81"/>
      <c r="U469" s="82"/>
    </row>
    <row r="470" spans="2:21" s="4" customFormat="1" ht="15.75" x14ac:dyDescent="0.25">
      <c r="B470" s="109"/>
      <c r="C470" s="29"/>
      <c r="D470" s="29"/>
      <c r="E470" s="29"/>
      <c r="F470" s="117"/>
      <c r="G470" s="29"/>
      <c r="H470" s="29"/>
      <c r="I470" s="81"/>
      <c r="J470" s="81"/>
      <c r="K470" s="103"/>
      <c r="L470" s="81"/>
      <c r="M470" s="103"/>
      <c r="N470" s="81"/>
      <c r="O470" s="81"/>
      <c r="P470" s="81"/>
      <c r="Q470" s="81"/>
      <c r="R470" s="81"/>
      <c r="S470" s="81"/>
      <c r="T470" s="81"/>
      <c r="U470" s="82"/>
    </row>
    <row r="471" spans="2:21" s="4" customFormat="1" ht="15.75" x14ac:dyDescent="0.25">
      <c r="B471" s="109"/>
      <c r="C471" s="29"/>
      <c r="D471" s="29"/>
      <c r="E471" s="29"/>
      <c r="F471" s="117"/>
      <c r="G471" s="29"/>
      <c r="H471" s="29"/>
      <c r="I471" s="81"/>
      <c r="J471" s="81"/>
      <c r="K471" s="103"/>
      <c r="L471" s="81"/>
      <c r="M471" s="103"/>
      <c r="N471" s="81"/>
      <c r="O471" s="81"/>
      <c r="P471" s="81"/>
      <c r="Q471" s="81"/>
      <c r="R471" s="81"/>
      <c r="S471" s="81"/>
      <c r="T471" s="81"/>
      <c r="U471" s="82"/>
    </row>
    <row r="472" spans="2:21" s="4" customFormat="1" ht="15.75" x14ac:dyDescent="0.25">
      <c r="B472" s="109"/>
      <c r="C472" s="29"/>
      <c r="D472" s="29"/>
      <c r="E472" s="29"/>
      <c r="F472" s="117"/>
      <c r="G472" s="29"/>
      <c r="H472" s="29"/>
      <c r="I472" s="81"/>
      <c r="J472" s="81"/>
      <c r="K472" s="103"/>
      <c r="L472" s="81"/>
      <c r="M472" s="103"/>
      <c r="N472" s="81"/>
      <c r="O472" s="81"/>
      <c r="P472" s="81"/>
      <c r="Q472" s="81"/>
      <c r="R472" s="81"/>
      <c r="S472" s="81"/>
      <c r="T472" s="81"/>
      <c r="U472" s="82"/>
    </row>
    <row r="473" spans="2:21" s="4" customFormat="1" ht="15.75" x14ac:dyDescent="0.25">
      <c r="B473" s="109"/>
      <c r="C473" s="29"/>
      <c r="D473" s="29"/>
      <c r="E473" s="29"/>
      <c r="F473" s="117"/>
      <c r="G473" s="29"/>
      <c r="H473" s="29"/>
      <c r="I473" s="81"/>
      <c r="J473" s="81"/>
      <c r="K473" s="103"/>
      <c r="L473" s="81"/>
      <c r="M473" s="103"/>
      <c r="N473" s="81"/>
      <c r="O473" s="81"/>
      <c r="P473" s="81"/>
      <c r="Q473" s="81"/>
      <c r="R473" s="81"/>
      <c r="S473" s="81"/>
      <c r="T473" s="81"/>
      <c r="U473" s="82"/>
    </row>
    <row r="474" spans="2:21" s="4" customFormat="1" ht="15.75" x14ac:dyDescent="0.25">
      <c r="B474" s="109"/>
      <c r="C474" s="29"/>
      <c r="D474" s="29"/>
      <c r="E474" s="29"/>
      <c r="F474" s="117"/>
      <c r="G474" s="29"/>
      <c r="H474" s="29"/>
      <c r="I474" s="81"/>
      <c r="J474" s="81"/>
      <c r="K474" s="103"/>
      <c r="L474" s="81"/>
      <c r="M474" s="103"/>
      <c r="N474" s="81"/>
      <c r="O474" s="81"/>
      <c r="P474" s="81"/>
      <c r="Q474" s="81"/>
      <c r="R474" s="81"/>
      <c r="S474" s="81"/>
      <c r="T474" s="81"/>
      <c r="U474" s="82"/>
    </row>
    <row r="475" spans="2:21" s="4" customFormat="1" ht="15.75" x14ac:dyDescent="0.25">
      <c r="B475" s="109"/>
      <c r="C475" s="29"/>
      <c r="D475" s="29"/>
      <c r="E475" s="29"/>
      <c r="F475" s="117"/>
      <c r="G475" s="29"/>
      <c r="H475" s="29"/>
      <c r="I475" s="81"/>
      <c r="J475" s="81"/>
      <c r="K475" s="103"/>
      <c r="L475" s="81"/>
      <c r="M475" s="103"/>
      <c r="N475" s="81"/>
      <c r="O475" s="81"/>
      <c r="P475" s="81"/>
      <c r="Q475" s="81"/>
      <c r="R475" s="81"/>
      <c r="S475" s="81"/>
      <c r="T475" s="81"/>
      <c r="U475" s="82"/>
    </row>
    <row r="476" spans="2:21" s="4" customFormat="1" ht="15.75" x14ac:dyDescent="0.25">
      <c r="B476" s="109"/>
      <c r="C476" s="29"/>
      <c r="D476" s="29"/>
      <c r="E476" s="29"/>
      <c r="F476" s="117"/>
      <c r="G476" s="29"/>
      <c r="H476" s="29"/>
      <c r="I476" s="81"/>
      <c r="J476" s="81"/>
      <c r="K476" s="103"/>
      <c r="L476" s="81"/>
      <c r="M476" s="103"/>
      <c r="N476" s="81"/>
      <c r="O476" s="81"/>
      <c r="P476" s="81"/>
      <c r="Q476" s="81"/>
      <c r="R476" s="81"/>
      <c r="S476" s="81"/>
      <c r="T476" s="81"/>
      <c r="U476" s="82"/>
    </row>
    <row r="477" spans="2:21" s="4" customFormat="1" ht="15.75" x14ac:dyDescent="0.25">
      <c r="B477" s="109"/>
      <c r="C477" s="29"/>
      <c r="D477" s="29"/>
      <c r="E477" s="29"/>
      <c r="F477" s="117"/>
      <c r="G477" s="29"/>
      <c r="H477" s="29"/>
      <c r="I477" s="81"/>
      <c r="J477" s="81"/>
      <c r="K477" s="103"/>
      <c r="L477" s="81"/>
      <c r="M477" s="103"/>
      <c r="N477" s="81"/>
      <c r="O477" s="81"/>
      <c r="P477" s="81"/>
      <c r="Q477" s="81"/>
      <c r="R477" s="81"/>
      <c r="S477" s="81"/>
      <c r="T477" s="81"/>
      <c r="U477" s="82"/>
    </row>
    <row r="478" spans="2:21" s="4" customFormat="1" ht="15.75" x14ac:dyDescent="0.25">
      <c r="B478" s="109"/>
      <c r="C478" s="29"/>
      <c r="D478" s="29"/>
      <c r="E478" s="29"/>
      <c r="F478" s="117"/>
      <c r="G478" s="29"/>
      <c r="H478" s="29"/>
      <c r="I478" s="81"/>
      <c r="J478" s="81"/>
      <c r="K478" s="103"/>
      <c r="L478" s="81"/>
      <c r="M478" s="103"/>
      <c r="N478" s="81"/>
      <c r="O478" s="81"/>
      <c r="P478" s="81"/>
      <c r="Q478" s="81"/>
      <c r="R478" s="81"/>
      <c r="S478" s="81"/>
      <c r="T478" s="81"/>
      <c r="U478" s="82"/>
    </row>
    <row r="479" spans="2:21" s="4" customFormat="1" ht="15.75" x14ac:dyDescent="0.25">
      <c r="B479" s="109"/>
      <c r="C479" s="29"/>
      <c r="D479" s="29"/>
      <c r="E479" s="29"/>
      <c r="F479" s="117"/>
      <c r="G479" s="29"/>
      <c r="H479" s="29"/>
      <c r="I479" s="81"/>
      <c r="J479" s="81"/>
      <c r="K479" s="103"/>
      <c r="L479" s="81"/>
      <c r="M479" s="103"/>
      <c r="N479" s="81"/>
      <c r="O479" s="81"/>
      <c r="P479" s="81"/>
      <c r="Q479" s="81"/>
      <c r="R479" s="81"/>
      <c r="S479" s="81"/>
      <c r="T479" s="81"/>
      <c r="U479" s="82"/>
    </row>
    <row r="480" spans="2:21" s="4" customFormat="1" ht="15.75" x14ac:dyDescent="0.25">
      <c r="B480" s="109"/>
      <c r="C480" s="29"/>
      <c r="D480" s="29"/>
      <c r="E480" s="29"/>
      <c r="F480" s="117"/>
      <c r="G480" s="29"/>
      <c r="H480" s="29"/>
      <c r="I480" s="81"/>
      <c r="J480" s="81"/>
      <c r="K480" s="103"/>
      <c r="L480" s="81"/>
      <c r="M480" s="103"/>
      <c r="N480" s="81"/>
      <c r="O480" s="81"/>
      <c r="P480" s="81"/>
      <c r="Q480" s="81"/>
      <c r="R480" s="81"/>
      <c r="S480" s="81"/>
      <c r="T480" s="81"/>
      <c r="U480" s="82"/>
    </row>
    <row r="481" spans="2:21" s="4" customFormat="1" ht="15.75" x14ac:dyDescent="0.25">
      <c r="B481" s="109"/>
      <c r="C481" s="29"/>
      <c r="D481" s="29"/>
      <c r="E481" s="29"/>
      <c r="F481" s="117"/>
      <c r="G481" s="29"/>
      <c r="H481" s="29"/>
      <c r="I481" s="81"/>
      <c r="J481" s="81"/>
      <c r="K481" s="103"/>
      <c r="L481" s="81"/>
      <c r="M481" s="103"/>
      <c r="N481" s="81"/>
      <c r="O481" s="81"/>
      <c r="P481" s="81"/>
      <c r="Q481" s="81"/>
      <c r="R481" s="81"/>
      <c r="S481" s="81"/>
      <c r="T481" s="81"/>
      <c r="U481" s="82"/>
    </row>
    <row r="482" spans="2:21" s="4" customFormat="1" ht="15.75" x14ac:dyDescent="0.25">
      <c r="B482" s="109"/>
      <c r="C482" s="29"/>
      <c r="D482" s="29"/>
      <c r="E482" s="29"/>
      <c r="F482" s="117"/>
      <c r="G482" s="29"/>
      <c r="H482" s="29"/>
      <c r="I482" s="81"/>
      <c r="J482" s="81"/>
      <c r="K482" s="103"/>
      <c r="L482" s="81"/>
      <c r="M482" s="103"/>
      <c r="N482" s="81"/>
      <c r="O482" s="81"/>
      <c r="P482" s="81"/>
      <c r="Q482" s="81"/>
      <c r="R482" s="81"/>
      <c r="S482" s="81"/>
      <c r="T482" s="81"/>
      <c r="U482" s="82"/>
    </row>
    <row r="483" spans="2:21" s="4" customFormat="1" ht="15.75" x14ac:dyDescent="0.25">
      <c r="B483" s="109"/>
      <c r="C483" s="29"/>
      <c r="D483" s="29"/>
      <c r="E483" s="29"/>
      <c r="F483" s="117"/>
      <c r="G483" s="29"/>
      <c r="H483" s="29"/>
      <c r="I483" s="81"/>
      <c r="J483" s="81"/>
      <c r="K483" s="103"/>
      <c r="L483" s="81"/>
      <c r="M483" s="103"/>
      <c r="N483" s="81"/>
      <c r="O483" s="81"/>
      <c r="P483" s="81"/>
      <c r="Q483" s="81"/>
      <c r="R483" s="81"/>
      <c r="S483" s="81"/>
      <c r="T483" s="81"/>
      <c r="U483" s="82"/>
    </row>
    <row r="484" spans="2:21" s="4" customFormat="1" ht="15.75" x14ac:dyDescent="0.25">
      <c r="B484" s="109"/>
      <c r="C484" s="29"/>
      <c r="D484" s="29"/>
      <c r="E484" s="29"/>
      <c r="F484" s="117"/>
      <c r="G484" s="29"/>
      <c r="H484" s="29"/>
      <c r="I484" s="81"/>
      <c r="J484" s="81"/>
      <c r="K484" s="103"/>
      <c r="L484" s="81"/>
      <c r="M484" s="103"/>
      <c r="N484" s="81"/>
      <c r="O484" s="81"/>
      <c r="P484" s="81"/>
      <c r="Q484" s="81"/>
      <c r="R484" s="81"/>
      <c r="S484" s="81"/>
      <c r="T484" s="81"/>
      <c r="U484" s="82"/>
    </row>
    <row r="485" spans="2:21" s="4" customFormat="1" ht="15.75" x14ac:dyDescent="0.25">
      <c r="B485" s="109"/>
      <c r="C485" s="29"/>
      <c r="D485" s="29"/>
      <c r="E485" s="29"/>
      <c r="F485" s="117"/>
      <c r="G485" s="29"/>
      <c r="H485" s="29"/>
      <c r="I485" s="81"/>
      <c r="J485" s="81"/>
      <c r="K485" s="103"/>
      <c r="L485" s="81"/>
      <c r="M485" s="103"/>
      <c r="N485" s="81"/>
      <c r="O485" s="81"/>
      <c r="P485" s="81"/>
      <c r="Q485" s="81"/>
      <c r="R485" s="81"/>
      <c r="S485" s="81"/>
      <c r="T485" s="81"/>
      <c r="U485" s="82"/>
    </row>
    <row r="486" spans="2:21" s="4" customFormat="1" ht="15.75" x14ac:dyDescent="0.25">
      <c r="B486" s="109"/>
      <c r="C486" s="29"/>
      <c r="D486" s="29"/>
      <c r="E486" s="29"/>
      <c r="F486" s="117"/>
      <c r="G486" s="29"/>
      <c r="H486" s="29"/>
      <c r="I486" s="81"/>
      <c r="J486" s="81"/>
      <c r="K486" s="103"/>
      <c r="L486" s="81"/>
      <c r="M486" s="103"/>
      <c r="N486" s="81"/>
      <c r="O486" s="81"/>
      <c r="P486" s="81"/>
      <c r="Q486" s="81"/>
      <c r="R486" s="81"/>
      <c r="S486" s="81"/>
      <c r="T486" s="81"/>
      <c r="U486" s="82"/>
    </row>
    <row r="487" spans="2:21" s="4" customFormat="1" ht="15.75" x14ac:dyDescent="0.25">
      <c r="B487" s="109"/>
      <c r="C487" s="29"/>
      <c r="D487" s="29"/>
      <c r="E487" s="29"/>
      <c r="F487" s="117"/>
      <c r="G487" s="29"/>
      <c r="H487" s="29"/>
      <c r="I487" s="81"/>
      <c r="J487" s="81"/>
      <c r="K487" s="103"/>
      <c r="L487" s="81"/>
      <c r="M487" s="103"/>
      <c r="N487" s="81"/>
      <c r="O487" s="81"/>
      <c r="P487" s="81"/>
      <c r="Q487" s="81"/>
      <c r="R487" s="81"/>
      <c r="S487" s="81"/>
      <c r="T487" s="81"/>
      <c r="U487" s="82"/>
    </row>
    <row r="488" spans="2:21" s="4" customFormat="1" ht="15.75" x14ac:dyDescent="0.25">
      <c r="B488" s="109"/>
      <c r="C488" s="29"/>
      <c r="D488" s="29"/>
      <c r="E488" s="29"/>
      <c r="F488" s="117"/>
      <c r="G488" s="29"/>
      <c r="H488" s="29"/>
      <c r="I488" s="81"/>
      <c r="J488" s="81"/>
      <c r="K488" s="103"/>
      <c r="L488" s="81"/>
      <c r="M488" s="103"/>
      <c r="N488" s="81"/>
      <c r="O488" s="81"/>
      <c r="P488" s="81"/>
      <c r="Q488" s="81"/>
      <c r="R488" s="81"/>
      <c r="S488" s="81"/>
      <c r="T488" s="81"/>
      <c r="U488" s="82"/>
    </row>
    <row r="489" spans="2:21" s="4" customFormat="1" ht="15.75" x14ac:dyDescent="0.25">
      <c r="B489" s="109"/>
      <c r="C489" s="29"/>
      <c r="D489" s="29"/>
      <c r="E489" s="29"/>
      <c r="F489" s="117"/>
      <c r="G489" s="29"/>
      <c r="H489" s="29"/>
      <c r="I489" s="81"/>
      <c r="J489" s="81"/>
      <c r="K489" s="103"/>
      <c r="L489" s="81"/>
      <c r="M489" s="103"/>
      <c r="N489" s="81"/>
      <c r="O489" s="81"/>
      <c r="P489" s="81"/>
      <c r="Q489" s="81"/>
      <c r="R489" s="81"/>
      <c r="S489" s="81"/>
      <c r="T489" s="81"/>
      <c r="U489" s="82"/>
    </row>
    <row r="490" spans="2:21" s="4" customFormat="1" ht="15.75" x14ac:dyDescent="0.25">
      <c r="B490" s="109"/>
      <c r="C490" s="29"/>
      <c r="D490" s="29"/>
      <c r="E490" s="29"/>
      <c r="F490" s="117"/>
      <c r="G490" s="29"/>
      <c r="H490" s="29"/>
      <c r="I490" s="81"/>
      <c r="J490" s="81"/>
      <c r="K490" s="103"/>
      <c r="L490" s="81"/>
      <c r="M490" s="103"/>
      <c r="N490" s="81"/>
      <c r="O490" s="81"/>
      <c r="P490" s="81"/>
      <c r="Q490" s="81"/>
      <c r="R490" s="81"/>
      <c r="S490" s="81"/>
      <c r="T490" s="81"/>
      <c r="U490" s="82"/>
    </row>
    <row r="491" spans="2:21" s="4" customFormat="1" ht="15.75" x14ac:dyDescent="0.25">
      <c r="B491" s="109"/>
      <c r="C491" s="29"/>
      <c r="D491" s="29"/>
      <c r="E491" s="29"/>
      <c r="F491" s="117"/>
      <c r="G491" s="29"/>
      <c r="H491" s="29"/>
      <c r="I491" s="81"/>
      <c r="J491" s="81"/>
      <c r="K491" s="103"/>
      <c r="L491" s="81"/>
      <c r="M491" s="103"/>
      <c r="N491" s="81"/>
      <c r="O491" s="81"/>
      <c r="P491" s="81"/>
      <c r="Q491" s="81"/>
      <c r="R491" s="81"/>
      <c r="S491" s="81"/>
      <c r="T491" s="81"/>
      <c r="U491" s="82"/>
    </row>
    <row r="492" spans="2:21" s="4" customFormat="1" ht="15.75" x14ac:dyDescent="0.25">
      <c r="B492" s="109"/>
      <c r="C492" s="29"/>
      <c r="D492" s="29"/>
      <c r="E492" s="29"/>
      <c r="F492" s="117"/>
      <c r="G492" s="29"/>
      <c r="H492" s="29"/>
      <c r="I492" s="81"/>
      <c r="J492" s="81"/>
      <c r="K492" s="103"/>
      <c r="L492" s="81"/>
      <c r="M492" s="103"/>
      <c r="N492" s="81"/>
      <c r="O492" s="81"/>
      <c r="P492" s="81"/>
      <c r="Q492" s="81"/>
      <c r="R492" s="81"/>
      <c r="S492" s="81"/>
      <c r="T492" s="81"/>
      <c r="U492" s="82"/>
    </row>
    <row r="493" spans="2:21" s="4" customFormat="1" ht="15.75" x14ac:dyDescent="0.25">
      <c r="B493" s="109"/>
      <c r="C493" s="29"/>
      <c r="D493" s="29"/>
      <c r="E493" s="29"/>
      <c r="F493" s="117"/>
      <c r="G493" s="29"/>
      <c r="H493" s="29"/>
      <c r="I493" s="81"/>
      <c r="J493" s="81"/>
      <c r="K493" s="103"/>
      <c r="L493" s="81"/>
      <c r="M493" s="103"/>
      <c r="N493" s="81"/>
      <c r="O493" s="81"/>
      <c r="P493" s="81"/>
      <c r="Q493" s="81"/>
      <c r="R493" s="81"/>
      <c r="S493" s="81"/>
      <c r="T493" s="81"/>
      <c r="U493" s="82"/>
    </row>
    <row r="494" spans="2:21" s="4" customFormat="1" ht="15.75" x14ac:dyDescent="0.25">
      <c r="B494" s="109"/>
      <c r="C494" s="29"/>
      <c r="D494" s="29"/>
      <c r="E494" s="29"/>
      <c r="F494" s="117"/>
      <c r="G494" s="29"/>
      <c r="H494" s="29"/>
      <c r="I494" s="81"/>
      <c r="J494" s="81"/>
      <c r="K494" s="103"/>
      <c r="L494" s="81"/>
      <c r="M494" s="103"/>
      <c r="N494" s="81"/>
      <c r="O494" s="81"/>
      <c r="P494" s="81"/>
      <c r="Q494" s="81"/>
      <c r="R494" s="81"/>
      <c r="S494" s="81"/>
      <c r="T494" s="81"/>
      <c r="U494" s="82"/>
    </row>
    <row r="495" spans="2:21" s="4" customFormat="1" ht="15.75" x14ac:dyDescent="0.25">
      <c r="B495" s="109"/>
      <c r="C495" s="29"/>
      <c r="D495" s="29"/>
      <c r="E495" s="29"/>
      <c r="F495" s="117"/>
      <c r="G495" s="29"/>
      <c r="H495" s="29"/>
      <c r="I495" s="81"/>
      <c r="J495" s="81"/>
      <c r="K495" s="103"/>
      <c r="L495" s="81"/>
      <c r="M495" s="103"/>
      <c r="N495" s="81"/>
      <c r="O495" s="81"/>
      <c r="P495" s="81"/>
      <c r="Q495" s="81"/>
      <c r="R495" s="81"/>
      <c r="S495" s="81"/>
      <c r="T495" s="81"/>
      <c r="U495" s="82"/>
    </row>
    <row r="496" spans="2:21" s="4" customFormat="1" ht="15.75" x14ac:dyDescent="0.25">
      <c r="B496" s="109"/>
      <c r="C496" s="29"/>
      <c r="D496" s="29"/>
      <c r="E496" s="29"/>
      <c r="F496" s="117"/>
      <c r="G496" s="29"/>
      <c r="H496" s="29"/>
      <c r="I496" s="81"/>
      <c r="J496" s="81"/>
      <c r="K496" s="103"/>
      <c r="L496" s="81"/>
      <c r="M496" s="103"/>
      <c r="N496" s="81"/>
      <c r="O496" s="81"/>
      <c r="P496" s="81"/>
      <c r="Q496" s="81"/>
      <c r="R496" s="81"/>
      <c r="S496" s="81"/>
      <c r="T496" s="81"/>
      <c r="U496" s="82"/>
    </row>
    <row r="497" spans="2:21" s="4" customFormat="1" ht="15.75" x14ac:dyDescent="0.25">
      <c r="B497" s="109"/>
      <c r="C497" s="29"/>
      <c r="D497" s="29"/>
      <c r="E497" s="29"/>
      <c r="F497" s="117"/>
      <c r="G497" s="29"/>
      <c r="H497" s="29"/>
      <c r="I497" s="81"/>
      <c r="J497" s="81"/>
      <c r="K497" s="103"/>
      <c r="L497" s="81"/>
      <c r="M497" s="103"/>
      <c r="N497" s="81"/>
      <c r="O497" s="81"/>
      <c r="P497" s="81"/>
      <c r="Q497" s="81"/>
      <c r="R497" s="81"/>
      <c r="S497" s="81"/>
      <c r="T497" s="81"/>
      <c r="U497" s="82"/>
    </row>
    <row r="498" spans="2:21" s="4" customFormat="1" ht="15.75" x14ac:dyDescent="0.25">
      <c r="B498" s="109"/>
      <c r="C498" s="29"/>
      <c r="D498" s="29"/>
      <c r="E498" s="29"/>
      <c r="F498" s="117"/>
      <c r="G498" s="29"/>
      <c r="H498" s="29"/>
      <c r="I498" s="81"/>
      <c r="J498" s="81"/>
      <c r="K498" s="103"/>
      <c r="L498" s="81"/>
      <c r="M498" s="103"/>
      <c r="N498" s="81"/>
      <c r="O498" s="81"/>
      <c r="P498" s="81"/>
      <c r="Q498" s="81"/>
      <c r="R498" s="81"/>
      <c r="S498" s="81"/>
      <c r="T498" s="81"/>
      <c r="U498" s="82"/>
    </row>
    <row r="499" spans="2:21" s="4" customFormat="1" ht="15.75" x14ac:dyDescent="0.25">
      <c r="B499" s="109"/>
      <c r="C499" s="29"/>
      <c r="D499" s="29"/>
      <c r="E499" s="29"/>
      <c r="F499" s="117"/>
      <c r="G499" s="29"/>
      <c r="H499" s="29"/>
      <c r="I499" s="81"/>
      <c r="J499" s="81"/>
      <c r="K499" s="103"/>
      <c r="L499" s="81"/>
      <c r="M499" s="103"/>
      <c r="N499" s="81"/>
      <c r="O499" s="81"/>
      <c r="P499" s="81"/>
      <c r="Q499" s="81"/>
      <c r="R499" s="81"/>
      <c r="S499" s="81"/>
      <c r="T499" s="81"/>
      <c r="U499" s="82"/>
    </row>
    <row r="500" spans="2:21" s="4" customFormat="1" ht="15.75" x14ac:dyDescent="0.25">
      <c r="B500" s="109"/>
      <c r="C500" s="29"/>
      <c r="D500" s="29"/>
      <c r="E500" s="29"/>
      <c r="F500" s="117"/>
      <c r="G500" s="29"/>
      <c r="H500" s="29"/>
      <c r="I500" s="81"/>
      <c r="J500" s="81"/>
      <c r="K500" s="103"/>
      <c r="L500" s="81"/>
      <c r="M500" s="103"/>
      <c r="N500" s="81"/>
      <c r="O500" s="81"/>
      <c r="P500" s="81"/>
      <c r="Q500" s="81"/>
      <c r="R500" s="81"/>
      <c r="S500" s="81"/>
      <c r="T500" s="81"/>
      <c r="U500" s="82"/>
    </row>
    <row r="501" spans="2:21" s="4" customFormat="1" ht="15.75" x14ac:dyDescent="0.25">
      <c r="B501" s="109"/>
      <c r="C501" s="29"/>
      <c r="D501" s="29"/>
      <c r="E501" s="29"/>
      <c r="F501" s="117"/>
      <c r="G501" s="29"/>
      <c r="H501" s="29"/>
      <c r="I501" s="81"/>
      <c r="J501" s="81"/>
      <c r="K501" s="103"/>
      <c r="L501" s="81"/>
      <c r="M501" s="103"/>
      <c r="N501" s="81"/>
      <c r="O501" s="81"/>
      <c r="P501" s="81"/>
      <c r="Q501" s="81"/>
      <c r="R501" s="81"/>
      <c r="S501" s="81"/>
      <c r="T501" s="81"/>
      <c r="U501" s="82"/>
    </row>
    <row r="502" spans="2:21" s="4" customFormat="1" ht="15.75" x14ac:dyDescent="0.25">
      <c r="B502" s="109"/>
      <c r="C502" s="29"/>
      <c r="D502" s="29"/>
      <c r="E502" s="29"/>
      <c r="F502" s="117"/>
      <c r="G502" s="29"/>
      <c r="H502" s="29"/>
      <c r="I502" s="81"/>
      <c r="J502" s="81"/>
      <c r="K502" s="103"/>
      <c r="L502" s="81"/>
      <c r="M502" s="103"/>
      <c r="N502" s="81"/>
      <c r="O502" s="81"/>
      <c r="P502" s="81"/>
      <c r="Q502" s="81"/>
      <c r="R502" s="81"/>
      <c r="S502" s="81"/>
      <c r="T502" s="81"/>
      <c r="U502" s="82"/>
    </row>
    <row r="503" spans="2:21" s="4" customFormat="1" ht="15.75" x14ac:dyDescent="0.25">
      <c r="B503" s="109"/>
      <c r="C503" s="29"/>
      <c r="D503" s="29"/>
      <c r="E503" s="29"/>
      <c r="F503" s="117"/>
      <c r="G503" s="29"/>
      <c r="H503" s="29"/>
      <c r="I503" s="81"/>
      <c r="J503" s="81"/>
      <c r="K503" s="103"/>
      <c r="L503" s="81"/>
      <c r="M503" s="103"/>
      <c r="N503" s="81"/>
      <c r="O503" s="81"/>
      <c r="P503" s="81"/>
      <c r="Q503" s="81"/>
      <c r="R503" s="81"/>
      <c r="S503" s="81"/>
      <c r="T503" s="81"/>
      <c r="U503" s="82"/>
    </row>
    <row r="504" spans="2:21" s="4" customFormat="1" ht="15.75" x14ac:dyDescent="0.25">
      <c r="B504" s="109"/>
      <c r="C504" s="29"/>
      <c r="D504" s="29"/>
      <c r="E504" s="29"/>
      <c r="F504" s="117"/>
      <c r="G504" s="29"/>
      <c r="H504" s="29"/>
      <c r="I504" s="81"/>
      <c r="J504" s="81"/>
      <c r="K504" s="103"/>
      <c r="L504" s="81"/>
      <c r="M504" s="103"/>
      <c r="N504" s="81"/>
      <c r="O504" s="81"/>
      <c r="P504" s="81"/>
      <c r="Q504" s="81"/>
      <c r="R504" s="81"/>
      <c r="S504" s="81"/>
      <c r="T504" s="81"/>
      <c r="U504" s="82"/>
    </row>
    <row r="505" spans="2:21" s="4" customFormat="1" ht="15.75" x14ac:dyDescent="0.25">
      <c r="B505" s="109"/>
      <c r="C505" s="29"/>
      <c r="D505" s="29"/>
      <c r="E505" s="29"/>
      <c r="F505" s="117"/>
      <c r="G505" s="29"/>
      <c r="H505" s="29"/>
      <c r="I505" s="81"/>
      <c r="J505" s="81"/>
      <c r="K505" s="103"/>
      <c r="L505" s="81"/>
      <c r="M505" s="103"/>
      <c r="N505" s="81"/>
      <c r="O505" s="81"/>
      <c r="P505" s="81"/>
      <c r="Q505" s="81"/>
      <c r="R505" s="81"/>
      <c r="S505" s="81"/>
      <c r="T505" s="81"/>
      <c r="U505" s="82"/>
    </row>
    <row r="506" spans="2:21" s="4" customFormat="1" ht="15.75" x14ac:dyDescent="0.25">
      <c r="B506" s="109"/>
      <c r="C506" s="29"/>
      <c r="D506" s="29"/>
      <c r="E506" s="29"/>
      <c r="F506" s="117"/>
      <c r="G506" s="29"/>
      <c r="H506" s="29"/>
      <c r="I506" s="81"/>
      <c r="J506" s="81"/>
      <c r="K506" s="103"/>
      <c r="L506" s="81"/>
      <c r="M506" s="103"/>
      <c r="N506" s="81"/>
      <c r="O506" s="81"/>
      <c r="P506" s="81"/>
      <c r="Q506" s="81"/>
      <c r="R506" s="81"/>
      <c r="S506" s="81"/>
      <c r="T506" s="81"/>
      <c r="U506" s="82"/>
    </row>
    <row r="507" spans="2:21" s="4" customFormat="1" ht="15.75" x14ac:dyDescent="0.25">
      <c r="B507" s="109"/>
      <c r="C507" s="29"/>
      <c r="D507" s="29"/>
      <c r="E507" s="29"/>
      <c r="F507" s="117"/>
      <c r="G507" s="29"/>
      <c r="H507" s="29"/>
      <c r="I507" s="81"/>
      <c r="J507" s="81"/>
      <c r="K507" s="103"/>
      <c r="L507" s="81"/>
      <c r="M507" s="103"/>
      <c r="N507" s="81"/>
      <c r="O507" s="81"/>
      <c r="P507" s="81"/>
      <c r="Q507" s="81"/>
      <c r="R507" s="81"/>
      <c r="S507" s="81"/>
      <c r="T507" s="81"/>
      <c r="U507" s="82"/>
    </row>
    <row r="508" spans="2:21" s="4" customFormat="1" ht="15.75" x14ac:dyDescent="0.25">
      <c r="B508" s="109"/>
      <c r="C508" s="29"/>
      <c r="D508" s="29"/>
      <c r="E508" s="29"/>
      <c r="F508" s="117"/>
      <c r="G508" s="29"/>
      <c r="H508" s="29"/>
      <c r="I508" s="81"/>
      <c r="J508" s="81"/>
      <c r="K508" s="103"/>
      <c r="L508" s="81"/>
      <c r="M508" s="103"/>
      <c r="N508" s="81"/>
      <c r="O508" s="81"/>
      <c r="P508" s="81"/>
      <c r="Q508" s="81"/>
      <c r="R508" s="81"/>
      <c r="S508" s="81"/>
      <c r="T508" s="81"/>
      <c r="U508" s="82"/>
    </row>
    <row r="509" spans="2:21" s="4" customFormat="1" ht="15.75" x14ac:dyDescent="0.25">
      <c r="B509" s="109"/>
      <c r="C509" s="29"/>
      <c r="D509" s="29"/>
      <c r="E509" s="29"/>
      <c r="F509" s="117"/>
      <c r="G509" s="29"/>
      <c r="H509" s="29"/>
      <c r="I509" s="81"/>
      <c r="J509" s="81"/>
      <c r="K509" s="103"/>
      <c r="L509" s="81"/>
      <c r="M509" s="103"/>
      <c r="N509" s="81"/>
      <c r="O509" s="81"/>
      <c r="P509" s="81"/>
      <c r="Q509" s="81"/>
      <c r="R509" s="81"/>
      <c r="S509" s="81"/>
      <c r="T509" s="81"/>
      <c r="U509" s="82"/>
    </row>
    <row r="510" spans="2:21" s="4" customFormat="1" ht="15.75" x14ac:dyDescent="0.25">
      <c r="B510" s="109"/>
      <c r="C510" s="29"/>
      <c r="D510" s="29"/>
      <c r="E510" s="29"/>
      <c r="F510" s="117"/>
      <c r="G510" s="29"/>
      <c r="H510" s="29"/>
      <c r="I510" s="81"/>
      <c r="J510" s="81"/>
      <c r="K510" s="103"/>
      <c r="L510" s="81"/>
      <c r="M510" s="103"/>
      <c r="N510" s="81"/>
      <c r="O510" s="81"/>
      <c r="P510" s="81"/>
      <c r="Q510" s="81"/>
      <c r="R510" s="81"/>
      <c r="S510" s="81"/>
      <c r="T510" s="81"/>
      <c r="U510" s="82"/>
    </row>
    <row r="511" spans="2:21" s="4" customFormat="1" ht="15.75" x14ac:dyDescent="0.25">
      <c r="B511" s="109"/>
      <c r="C511" s="29"/>
      <c r="D511" s="29"/>
      <c r="E511" s="29"/>
      <c r="F511" s="117"/>
      <c r="G511" s="29"/>
      <c r="H511" s="29"/>
      <c r="I511" s="81"/>
      <c r="J511" s="81"/>
      <c r="K511" s="103"/>
      <c r="L511" s="81"/>
      <c r="M511" s="103"/>
      <c r="N511" s="81"/>
      <c r="O511" s="81"/>
      <c r="P511" s="81"/>
      <c r="Q511" s="81"/>
      <c r="R511" s="81"/>
      <c r="S511" s="81"/>
      <c r="T511" s="81"/>
      <c r="U511" s="82"/>
    </row>
    <row r="512" spans="2:21" s="4" customFormat="1" ht="15.75" x14ac:dyDescent="0.25">
      <c r="B512" s="109"/>
      <c r="C512" s="29"/>
      <c r="D512" s="29"/>
      <c r="E512" s="29"/>
      <c r="F512" s="117"/>
      <c r="G512" s="29"/>
      <c r="H512" s="29"/>
      <c r="I512" s="81"/>
      <c r="J512" s="81"/>
      <c r="K512" s="103"/>
      <c r="L512" s="81"/>
      <c r="M512" s="103"/>
      <c r="N512" s="81"/>
      <c r="O512" s="81"/>
      <c r="P512" s="81"/>
      <c r="Q512" s="81"/>
      <c r="R512" s="81"/>
      <c r="S512" s="81"/>
      <c r="T512" s="81"/>
      <c r="U512" s="82"/>
    </row>
    <row r="513" spans="2:21" s="4" customFormat="1" ht="15.75" x14ac:dyDescent="0.25">
      <c r="B513" s="109"/>
      <c r="C513" s="29"/>
      <c r="D513" s="29"/>
      <c r="E513" s="29"/>
      <c r="F513" s="117"/>
      <c r="G513" s="29"/>
      <c r="H513" s="29"/>
      <c r="I513" s="81"/>
      <c r="J513" s="81"/>
      <c r="K513" s="103"/>
      <c r="L513" s="81"/>
      <c r="M513" s="103"/>
      <c r="N513" s="81"/>
      <c r="O513" s="81"/>
      <c r="P513" s="81"/>
      <c r="Q513" s="81"/>
      <c r="R513" s="81"/>
      <c r="S513" s="81"/>
      <c r="T513" s="81"/>
      <c r="U513" s="82"/>
    </row>
    <row r="514" spans="2:21" s="4" customFormat="1" ht="15.75" x14ac:dyDescent="0.25">
      <c r="B514" s="109"/>
      <c r="C514" s="29"/>
      <c r="D514" s="29"/>
      <c r="E514" s="29"/>
      <c r="F514" s="117"/>
      <c r="G514" s="29"/>
      <c r="H514" s="29"/>
      <c r="I514" s="81"/>
      <c r="J514" s="81"/>
      <c r="K514" s="103"/>
      <c r="L514" s="81"/>
      <c r="M514" s="103"/>
      <c r="N514" s="81"/>
      <c r="O514" s="81"/>
      <c r="P514" s="81"/>
      <c r="Q514" s="81"/>
      <c r="R514" s="81"/>
      <c r="S514" s="81"/>
      <c r="T514" s="81"/>
      <c r="U514" s="82"/>
    </row>
    <row r="515" spans="2:21" s="4" customFormat="1" ht="15.75" x14ac:dyDescent="0.25">
      <c r="B515" s="109"/>
      <c r="C515" s="29"/>
      <c r="D515" s="29"/>
      <c r="E515" s="29"/>
      <c r="F515" s="117"/>
      <c r="G515" s="29"/>
      <c r="H515" s="29"/>
      <c r="I515" s="81"/>
      <c r="J515" s="81"/>
      <c r="K515" s="103"/>
      <c r="L515" s="81"/>
      <c r="M515" s="103"/>
      <c r="N515" s="81"/>
      <c r="O515" s="81"/>
      <c r="P515" s="81"/>
      <c r="Q515" s="81"/>
      <c r="R515" s="81"/>
      <c r="S515" s="81"/>
      <c r="T515" s="81"/>
      <c r="U515" s="82"/>
    </row>
    <row r="516" spans="2:21" s="4" customFormat="1" ht="15.75" x14ac:dyDescent="0.25">
      <c r="B516" s="109"/>
      <c r="C516" s="29"/>
      <c r="D516" s="29"/>
      <c r="E516" s="29"/>
      <c r="F516" s="117"/>
      <c r="G516" s="29"/>
      <c r="H516" s="29"/>
      <c r="I516" s="81"/>
      <c r="J516" s="81"/>
      <c r="K516" s="103"/>
      <c r="L516" s="81"/>
      <c r="M516" s="103"/>
      <c r="N516" s="81"/>
      <c r="O516" s="81"/>
      <c r="P516" s="81"/>
      <c r="Q516" s="81"/>
      <c r="R516" s="81"/>
      <c r="S516" s="81"/>
      <c r="T516" s="81"/>
      <c r="U516" s="82"/>
    </row>
    <row r="517" spans="2:21" s="4" customFormat="1" ht="15.75" x14ac:dyDescent="0.25">
      <c r="B517" s="109"/>
      <c r="C517" s="29"/>
      <c r="D517" s="29"/>
      <c r="E517" s="29"/>
      <c r="F517" s="117"/>
      <c r="G517" s="29"/>
      <c r="H517" s="29"/>
      <c r="I517" s="81"/>
      <c r="J517" s="81"/>
      <c r="K517" s="103"/>
      <c r="L517" s="81"/>
      <c r="M517" s="103"/>
      <c r="N517" s="81"/>
      <c r="O517" s="81"/>
      <c r="P517" s="81"/>
      <c r="Q517" s="81"/>
      <c r="R517" s="81"/>
      <c r="S517" s="81"/>
      <c r="T517" s="81"/>
      <c r="U517" s="82"/>
    </row>
    <row r="518" spans="2:21" s="4" customFormat="1" ht="15.75" x14ac:dyDescent="0.25">
      <c r="B518" s="109"/>
      <c r="C518" s="29"/>
      <c r="D518" s="29"/>
      <c r="E518" s="29"/>
      <c r="F518" s="117"/>
      <c r="G518" s="29"/>
      <c r="H518" s="29"/>
      <c r="I518" s="81"/>
      <c r="J518" s="81"/>
      <c r="K518" s="103"/>
      <c r="L518" s="81"/>
      <c r="M518" s="103"/>
      <c r="N518" s="81"/>
      <c r="O518" s="81"/>
      <c r="P518" s="81"/>
      <c r="Q518" s="81"/>
      <c r="R518" s="81"/>
      <c r="S518" s="81"/>
      <c r="T518" s="81"/>
      <c r="U518" s="82"/>
    </row>
    <row r="519" spans="2:21" s="4" customFormat="1" ht="15.75" x14ac:dyDescent="0.25">
      <c r="B519" s="109"/>
      <c r="C519" s="29"/>
      <c r="D519" s="29"/>
      <c r="E519" s="29"/>
      <c r="F519" s="117"/>
      <c r="G519" s="29"/>
      <c r="H519" s="29"/>
      <c r="I519" s="81"/>
      <c r="J519" s="81"/>
      <c r="K519" s="103"/>
      <c r="L519" s="81"/>
      <c r="M519" s="103"/>
      <c r="N519" s="81"/>
      <c r="O519" s="81"/>
      <c r="P519" s="81"/>
      <c r="Q519" s="81"/>
      <c r="R519" s="81"/>
      <c r="S519" s="81"/>
      <c r="T519" s="81"/>
      <c r="U519" s="82"/>
    </row>
    <row r="520" spans="2:21" s="4" customFormat="1" ht="15.75" x14ac:dyDescent="0.25">
      <c r="B520" s="109"/>
      <c r="C520" s="29"/>
      <c r="D520" s="29"/>
      <c r="E520" s="29"/>
      <c r="F520" s="117"/>
      <c r="G520" s="29"/>
      <c r="H520" s="29"/>
      <c r="I520" s="81"/>
      <c r="J520" s="81"/>
      <c r="K520" s="103"/>
      <c r="L520" s="81"/>
      <c r="M520" s="103"/>
      <c r="N520" s="81"/>
      <c r="O520" s="81"/>
      <c r="P520" s="81"/>
      <c r="Q520" s="81"/>
      <c r="R520" s="81"/>
      <c r="S520" s="81"/>
      <c r="T520" s="81"/>
      <c r="U520" s="82"/>
    </row>
    <row r="521" spans="2:21" s="4" customFormat="1" ht="15.75" x14ac:dyDescent="0.25">
      <c r="B521" s="109"/>
      <c r="C521" s="29"/>
      <c r="D521" s="29"/>
      <c r="E521" s="29"/>
      <c r="F521" s="117"/>
      <c r="G521" s="29"/>
      <c r="H521" s="29"/>
      <c r="I521" s="81"/>
      <c r="J521" s="81"/>
      <c r="K521" s="103"/>
      <c r="L521" s="81"/>
      <c r="M521" s="103"/>
      <c r="N521" s="81"/>
      <c r="O521" s="81"/>
      <c r="P521" s="81"/>
      <c r="Q521" s="81"/>
      <c r="R521" s="81"/>
      <c r="S521" s="81"/>
      <c r="T521" s="81"/>
      <c r="U521" s="82"/>
    </row>
    <row r="522" spans="2:21" s="4" customFormat="1" ht="15.75" x14ac:dyDescent="0.25">
      <c r="B522" s="109"/>
      <c r="C522" s="29"/>
      <c r="D522" s="29"/>
      <c r="E522" s="29"/>
      <c r="F522" s="117"/>
      <c r="G522" s="29"/>
      <c r="H522" s="29"/>
      <c r="I522" s="81"/>
      <c r="J522" s="81"/>
      <c r="K522" s="103"/>
      <c r="L522" s="81"/>
      <c r="M522" s="103"/>
      <c r="N522" s="81"/>
      <c r="O522" s="81"/>
      <c r="P522" s="81"/>
      <c r="Q522" s="81"/>
      <c r="R522" s="81"/>
      <c r="S522" s="81"/>
      <c r="T522" s="81"/>
      <c r="U522" s="82"/>
    </row>
    <row r="523" spans="2:21" s="4" customFormat="1" ht="15.75" x14ac:dyDescent="0.25">
      <c r="B523" s="109"/>
      <c r="C523" s="29"/>
      <c r="D523" s="29"/>
      <c r="E523" s="29"/>
      <c r="F523" s="117"/>
      <c r="G523" s="29"/>
      <c r="H523" s="29"/>
      <c r="I523" s="81"/>
      <c r="J523" s="81"/>
      <c r="K523" s="103"/>
      <c r="L523" s="81"/>
      <c r="M523" s="103"/>
      <c r="N523" s="81"/>
      <c r="O523" s="81"/>
      <c r="P523" s="81"/>
      <c r="Q523" s="81"/>
      <c r="R523" s="81"/>
      <c r="S523" s="81"/>
      <c r="T523" s="81"/>
      <c r="U523" s="82"/>
    </row>
    <row r="524" spans="2:21" s="4" customFormat="1" ht="15.75" x14ac:dyDescent="0.25">
      <c r="B524" s="109"/>
      <c r="C524" s="29"/>
      <c r="D524" s="29"/>
      <c r="E524" s="29"/>
      <c r="F524" s="117"/>
      <c r="G524" s="29"/>
      <c r="H524" s="29"/>
      <c r="I524" s="81"/>
      <c r="J524" s="81"/>
      <c r="K524" s="103"/>
      <c r="L524" s="81"/>
      <c r="M524" s="103"/>
      <c r="N524" s="81"/>
      <c r="O524" s="81"/>
      <c r="P524" s="81"/>
      <c r="Q524" s="81"/>
      <c r="R524" s="81"/>
      <c r="S524" s="81"/>
      <c r="T524" s="81"/>
      <c r="U524" s="82"/>
    </row>
    <row r="525" spans="2:21" s="4" customFormat="1" ht="15.75" x14ac:dyDescent="0.25">
      <c r="B525" s="109"/>
      <c r="C525" s="29"/>
      <c r="D525" s="29"/>
      <c r="E525" s="29"/>
      <c r="F525" s="117"/>
      <c r="G525" s="29"/>
      <c r="H525" s="29"/>
      <c r="I525" s="81"/>
      <c r="J525" s="81"/>
      <c r="K525" s="103"/>
      <c r="L525" s="81"/>
      <c r="M525" s="103"/>
      <c r="N525" s="81"/>
      <c r="O525" s="81"/>
      <c r="P525" s="81"/>
      <c r="Q525" s="81"/>
      <c r="R525" s="81"/>
      <c r="S525" s="81"/>
      <c r="T525" s="81"/>
      <c r="U525" s="82"/>
    </row>
    <row r="526" spans="2:21" s="4" customFormat="1" ht="15.75" x14ac:dyDescent="0.25">
      <c r="B526" s="109"/>
      <c r="C526" s="29"/>
      <c r="D526" s="29"/>
      <c r="E526" s="29"/>
      <c r="F526" s="117"/>
      <c r="G526" s="29"/>
      <c r="H526" s="29"/>
      <c r="I526" s="81"/>
      <c r="J526" s="81"/>
      <c r="K526" s="103"/>
      <c r="L526" s="81"/>
      <c r="M526" s="103"/>
      <c r="N526" s="81"/>
      <c r="O526" s="81"/>
      <c r="P526" s="81"/>
      <c r="Q526" s="81"/>
      <c r="R526" s="81"/>
      <c r="S526" s="81"/>
      <c r="T526" s="81"/>
      <c r="U526" s="82"/>
    </row>
    <row r="527" spans="2:21" s="4" customFormat="1" ht="15.75" x14ac:dyDescent="0.25">
      <c r="B527" s="109"/>
      <c r="C527" s="29"/>
      <c r="D527" s="29"/>
      <c r="E527" s="29"/>
      <c r="F527" s="117"/>
      <c r="G527" s="29"/>
      <c r="H527" s="29"/>
      <c r="I527" s="81"/>
      <c r="J527" s="81"/>
      <c r="K527" s="103"/>
      <c r="L527" s="81"/>
      <c r="M527" s="103"/>
      <c r="N527" s="81"/>
      <c r="O527" s="81"/>
      <c r="P527" s="81"/>
      <c r="Q527" s="81"/>
      <c r="R527" s="81"/>
      <c r="S527" s="81"/>
      <c r="T527" s="81"/>
      <c r="U527" s="82"/>
    </row>
    <row r="528" spans="2:21" s="4" customFormat="1" ht="15.75" x14ac:dyDescent="0.25">
      <c r="B528" s="109"/>
      <c r="C528" s="29"/>
      <c r="D528" s="29"/>
      <c r="E528" s="29"/>
      <c r="F528" s="117"/>
      <c r="G528" s="29"/>
      <c r="H528" s="29"/>
      <c r="I528" s="81"/>
      <c r="J528" s="81"/>
      <c r="K528" s="103"/>
      <c r="L528" s="81"/>
      <c r="M528" s="103"/>
      <c r="N528" s="81"/>
      <c r="O528" s="81"/>
      <c r="P528" s="81"/>
      <c r="Q528" s="81"/>
      <c r="R528" s="81"/>
      <c r="S528" s="81"/>
      <c r="T528" s="81"/>
      <c r="U528" s="82"/>
    </row>
    <row r="529" spans="2:21" s="4" customFormat="1" ht="15.75" x14ac:dyDescent="0.25">
      <c r="B529" s="109"/>
      <c r="C529" s="29"/>
      <c r="D529" s="29"/>
      <c r="E529" s="29"/>
      <c r="F529" s="117"/>
      <c r="G529" s="29"/>
      <c r="H529" s="29"/>
      <c r="I529" s="81"/>
      <c r="J529" s="81"/>
      <c r="K529" s="103"/>
      <c r="L529" s="81"/>
      <c r="M529" s="103"/>
      <c r="N529" s="81"/>
      <c r="O529" s="81"/>
      <c r="P529" s="81"/>
      <c r="Q529" s="81"/>
      <c r="R529" s="81"/>
      <c r="S529" s="81"/>
      <c r="T529" s="81"/>
      <c r="U529" s="82"/>
    </row>
    <row r="530" spans="2:21" s="4" customFormat="1" ht="15.75" x14ac:dyDescent="0.25">
      <c r="B530" s="109"/>
      <c r="C530" s="29"/>
      <c r="D530" s="29"/>
      <c r="E530" s="29"/>
      <c r="F530" s="117"/>
      <c r="G530" s="29"/>
      <c r="H530" s="29"/>
      <c r="I530" s="81"/>
      <c r="J530" s="81"/>
      <c r="K530" s="103"/>
      <c r="L530" s="81"/>
      <c r="M530" s="103"/>
      <c r="N530" s="81"/>
      <c r="O530" s="81"/>
      <c r="P530" s="81"/>
      <c r="Q530" s="81"/>
      <c r="R530" s="81"/>
      <c r="S530" s="81"/>
      <c r="T530" s="81"/>
      <c r="U530" s="82"/>
    </row>
    <row r="531" spans="2:21" s="4" customFormat="1" ht="15.75" x14ac:dyDescent="0.25">
      <c r="B531" s="109"/>
      <c r="C531" s="29"/>
      <c r="D531" s="29"/>
      <c r="E531" s="29"/>
      <c r="F531" s="117"/>
      <c r="G531" s="29"/>
      <c r="H531" s="29"/>
      <c r="I531" s="81"/>
      <c r="J531" s="81"/>
      <c r="K531" s="103"/>
      <c r="L531" s="81"/>
      <c r="M531" s="103"/>
      <c r="N531" s="81"/>
      <c r="O531" s="81"/>
      <c r="P531" s="81"/>
      <c r="Q531" s="81"/>
      <c r="R531" s="81"/>
      <c r="S531" s="81"/>
      <c r="T531" s="81"/>
      <c r="U531" s="82"/>
    </row>
    <row r="532" spans="2:21" s="4" customFormat="1" ht="15.75" x14ac:dyDescent="0.25">
      <c r="B532" s="109"/>
      <c r="C532" s="29"/>
      <c r="D532" s="29"/>
      <c r="E532" s="29"/>
      <c r="F532" s="117"/>
      <c r="G532" s="29"/>
      <c r="H532" s="29"/>
      <c r="I532" s="81"/>
      <c r="J532" s="81"/>
      <c r="K532" s="103"/>
      <c r="L532" s="81"/>
      <c r="M532" s="103"/>
      <c r="N532" s="81"/>
      <c r="O532" s="81"/>
      <c r="P532" s="81"/>
      <c r="Q532" s="81"/>
      <c r="R532" s="81"/>
      <c r="S532" s="81"/>
      <c r="T532" s="81"/>
      <c r="U532" s="82"/>
    </row>
    <row r="533" spans="2:21" s="4" customFormat="1" ht="15.75" x14ac:dyDescent="0.25">
      <c r="B533" s="109"/>
      <c r="C533" s="29"/>
      <c r="D533" s="29"/>
      <c r="E533" s="29"/>
      <c r="F533" s="117"/>
      <c r="G533" s="29"/>
      <c r="H533" s="29"/>
      <c r="I533" s="81"/>
      <c r="J533" s="81"/>
      <c r="K533" s="103"/>
      <c r="L533" s="81"/>
      <c r="M533" s="103"/>
      <c r="N533" s="81"/>
      <c r="O533" s="81"/>
      <c r="P533" s="81"/>
      <c r="Q533" s="81"/>
      <c r="R533" s="81"/>
      <c r="S533" s="81"/>
      <c r="T533" s="81"/>
      <c r="U533" s="82"/>
    </row>
    <row r="534" spans="2:21" s="4" customFormat="1" ht="15.75" x14ac:dyDescent="0.25">
      <c r="B534" s="109"/>
      <c r="C534" s="29"/>
      <c r="D534" s="29"/>
      <c r="E534" s="29"/>
      <c r="F534" s="117"/>
      <c r="G534" s="29"/>
      <c r="H534" s="29"/>
      <c r="I534" s="81"/>
      <c r="J534" s="81"/>
      <c r="K534" s="103"/>
      <c r="L534" s="81"/>
      <c r="M534" s="103"/>
      <c r="N534" s="81"/>
      <c r="O534" s="81"/>
      <c r="P534" s="81"/>
      <c r="Q534" s="81"/>
      <c r="R534" s="81"/>
      <c r="S534" s="81"/>
      <c r="T534" s="81"/>
      <c r="U534" s="82"/>
    </row>
    <row r="535" spans="2:21" s="4" customFormat="1" ht="15.75" x14ac:dyDescent="0.25">
      <c r="B535" s="109"/>
      <c r="C535" s="29"/>
      <c r="D535" s="29"/>
      <c r="E535" s="29"/>
      <c r="F535" s="117"/>
      <c r="G535" s="29"/>
      <c r="H535" s="29"/>
      <c r="I535" s="81"/>
      <c r="J535" s="81"/>
      <c r="K535" s="103"/>
      <c r="L535" s="81"/>
      <c r="M535" s="103"/>
      <c r="N535" s="81"/>
      <c r="O535" s="81"/>
      <c r="P535" s="81"/>
      <c r="Q535" s="81"/>
      <c r="R535" s="81"/>
      <c r="S535" s="81"/>
      <c r="T535" s="81"/>
      <c r="U535" s="82"/>
    </row>
    <row r="536" spans="2:21" s="4" customFormat="1" ht="15.75" x14ac:dyDescent="0.25">
      <c r="B536" s="109"/>
      <c r="C536" s="29"/>
      <c r="D536" s="29"/>
      <c r="E536" s="29"/>
      <c r="F536" s="117"/>
      <c r="G536" s="29"/>
      <c r="H536" s="29"/>
      <c r="I536" s="81"/>
      <c r="J536" s="81"/>
      <c r="K536" s="103"/>
      <c r="L536" s="81"/>
      <c r="M536" s="103"/>
      <c r="N536" s="81"/>
      <c r="O536" s="81"/>
      <c r="P536" s="81"/>
      <c r="Q536" s="81"/>
      <c r="R536" s="81"/>
      <c r="S536" s="81"/>
      <c r="T536" s="81"/>
      <c r="U536" s="82"/>
    </row>
    <row r="537" spans="2:21" s="4" customFormat="1" ht="15.75" x14ac:dyDescent="0.25">
      <c r="B537" s="109"/>
      <c r="C537" s="29"/>
      <c r="D537" s="29"/>
      <c r="E537" s="29"/>
      <c r="F537" s="117"/>
      <c r="G537" s="29"/>
      <c r="H537" s="29"/>
      <c r="I537" s="81"/>
      <c r="J537" s="81"/>
      <c r="K537" s="103"/>
      <c r="L537" s="81"/>
      <c r="M537" s="103"/>
      <c r="N537" s="81"/>
      <c r="O537" s="81"/>
      <c r="P537" s="81"/>
      <c r="Q537" s="81"/>
      <c r="R537" s="81"/>
      <c r="S537" s="81"/>
      <c r="T537" s="81"/>
      <c r="U537" s="82"/>
    </row>
    <row r="538" spans="2:21" s="4" customFormat="1" ht="15.75" x14ac:dyDescent="0.25">
      <c r="B538" s="109"/>
      <c r="C538" s="29"/>
      <c r="D538" s="29"/>
      <c r="E538" s="29"/>
      <c r="F538" s="117"/>
      <c r="G538" s="29"/>
      <c r="H538" s="29"/>
      <c r="I538" s="81"/>
      <c r="J538" s="81"/>
      <c r="K538" s="103"/>
      <c r="L538" s="81"/>
      <c r="M538" s="103"/>
      <c r="N538" s="81"/>
      <c r="O538" s="81"/>
      <c r="P538" s="81"/>
      <c r="Q538" s="81"/>
      <c r="R538" s="81"/>
      <c r="S538" s="81"/>
      <c r="T538" s="81"/>
      <c r="U538" s="82"/>
    </row>
    <row r="539" spans="2:21" s="4" customFormat="1" ht="15.75" x14ac:dyDescent="0.25">
      <c r="B539" s="109"/>
      <c r="C539" s="29"/>
      <c r="D539" s="29"/>
      <c r="E539" s="29"/>
      <c r="F539" s="117"/>
      <c r="G539" s="29"/>
      <c r="H539" s="29"/>
      <c r="I539" s="81"/>
      <c r="J539" s="81"/>
      <c r="K539" s="103"/>
      <c r="L539" s="81"/>
      <c r="M539" s="103"/>
      <c r="N539" s="81"/>
      <c r="O539" s="81"/>
      <c r="P539" s="81"/>
      <c r="Q539" s="81"/>
      <c r="R539" s="81"/>
      <c r="S539" s="81"/>
      <c r="T539" s="81"/>
      <c r="U539" s="82"/>
    </row>
    <row r="540" spans="2:21" s="4" customFormat="1" ht="15.75" x14ac:dyDescent="0.25">
      <c r="B540" s="109"/>
      <c r="C540" s="29"/>
      <c r="D540" s="29"/>
      <c r="E540" s="29"/>
      <c r="F540" s="117"/>
      <c r="G540" s="29"/>
      <c r="H540" s="29"/>
      <c r="I540" s="81"/>
      <c r="J540" s="81"/>
      <c r="K540" s="103"/>
      <c r="L540" s="81"/>
      <c r="M540" s="103"/>
      <c r="N540" s="81"/>
      <c r="O540" s="81"/>
      <c r="P540" s="81"/>
      <c r="Q540" s="81"/>
      <c r="R540" s="81"/>
      <c r="S540" s="81"/>
      <c r="T540" s="81"/>
      <c r="U540" s="82"/>
    </row>
    <row r="541" spans="2:21" s="4" customFormat="1" ht="15.75" x14ac:dyDescent="0.25">
      <c r="B541" s="109"/>
      <c r="C541" s="29"/>
      <c r="D541" s="29"/>
      <c r="E541" s="29"/>
      <c r="F541" s="117"/>
      <c r="G541" s="29"/>
      <c r="H541" s="29"/>
      <c r="I541" s="81"/>
      <c r="J541" s="81"/>
      <c r="K541" s="103"/>
      <c r="L541" s="81"/>
      <c r="M541" s="103"/>
      <c r="N541" s="81"/>
      <c r="O541" s="81"/>
      <c r="P541" s="81"/>
      <c r="Q541" s="81"/>
      <c r="R541" s="81"/>
      <c r="S541" s="81"/>
      <c r="T541" s="81"/>
      <c r="U541" s="82"/>
    </row>
    <row r="542" spans="2:21" s="4" customFormat="1" ht="15.75" x14ac:dyDescent="0.25">
      <c r="B542" s="109"/>
      <c r="C542" s="29"/>
      <c r="D542" s="29"/>
      <c r="E542" s="29"/>
      <c r="F542" s="117"/>
      <c r="G542" s="29"/>
      <c r="H542" s="29"/>
      <c r="I542" s="81"/>
      <c r="J542" s="81"/>
      <c r="K542" s="103"/>
      <c r="L542" s="81"/>
      <c r="M542" s="103"/>
      <c r="N542" s="81"/>
      <c r="O542" s="81"/>
      <c r="P542" s="81"/>
      <c r="Q542" s="81"/>
      <c r="R542" s="81"/>
      <c r="S542" s="81"/>
      <c r="T542" s="81"/>
      <c r="U542" s="82"/>
    </row>
    <row r="543" spans="2:21" s="4" customFormat="1" ht="15.75" x14ac:dyDescent="0.25">
      <c r="B543" s="109"/>
      <c r="C543" s="29"/>
      <c r="D543" s="29"/>
      <c r="E543" s="29"/>
      <c r="F543" s="117"/>
      <c r="G543" s="29"/>
      <c r="H543" s="29"/>
      <c r="I543" s="81"/>
      <c r="J543" s="81"/>
      <c r="K543" s="103"/>
      <c r="L543" s="81"/>
      <c r="M543" s="103"/>
      <c r="N543" s="81"/>
      <c r="O543" s="81"/>
      <c r="P543" s="81"/>
      <c r="Q543" s="81"/>
      <c r="R543" s="81"/>
      <c r="S543" s="81"/>
      <c r="T543" s="81"/>
      <c r="U543" s="82"/>
    </row>
    <row r="544" spans="2:21" s="4" customFormat="1" ht="15.75" x14ac:dyDescent="0.25">
      <c r="B544" s="109"/>
      <c r="C544" s="29"/>
      <c r="D544" s="29"/>
      <c r="E544" s="29"/>
      <c r="F544" s="117"/>
      <c r="G544" s="29"/>
      <c r="H544" s="29"/>
      <c r="I544" s="81"/>
      <c r="J544" s="81"/>
      <c r="K544" s="103"/>
      <c r="L544" s="81"/>
      <c r="M544" s="103"/>
      <c r="N544" s="81"/>
      <c r="O544" s="81"/>
      <c r="P544" s="81"/>
      <c r="Q544" s="81"/>
      <c r="R544" s="81"/>
      <c r="S544" s="81"/>
      <c r="T544" s="81"/>
      <c r="U544" s="82"/>
    </row>
    <row r="545" spans="2:21" s="4" customFormat="1" ht="15.75" x14ac:dyDescent="0.25">
      <c r="B545" s="109"/>
      <c r="C545" s="29"/>
      <c r="D545" s="29"/>
      <c r="E545" s="29"/>
      <c r="F545" s="117"/>
      <c r="G545" s="29"/>
      <c r="H545" s="29"/>
      <c r="I545" s="81"/>
      <c r="J545" s="81"/>
      <c r="K545" s="103"/>
      <c r="L545" s="81"/>
      <c r="M545" s="103"/>
      <c r="N545" s="81"/>
      <c r="O545" s="81"/>
      <c r="P545" s="81"/>
      <c r="Q545" s="81"/>
      <c r="R545" s="81"/>
      <c r="S545" s="81"/>
      <c r="T545" s="81"/>
      <c r="U545" s="82"/>
    </row>
    <row r="546" spans="2:21" s="4" customFormat="1" ht="15.75" x14ac:dyDescent="0.25">
      <c r="B546" s="109"/>
      <c r="C546" s="29"/>
      <c r="D546" s="29"/>
      <c r="E546" s="29"/>
      <c r="F546" s="117"/>
      <c r="G546" s="29"/>
      <c r="H546" s="29"/>
      <c r="I546" s="81"/>
      <c r="J546" s="81"/>
      <c r="K546" s="103"/>
      <c r="L546" s="81"/>
      <c r="M546" s="103"/>
      <c r="N546" s="81"/>
      <c r="O546" s="81"/>
      <c r="P546" s="81"/>
      <c r="Q546" s="81"/>
      <c r="R546" s="81"/>
      <c r="S546" s="81"/>
      <c r="T546" s="81"/>
      <c r="U546" s="82"/>
    </row>
    <row r="547" spans="2:21" s="4" customFormat="1" ht="15.75" x14ac:dyDescent="0.25">
      <c r="B547" s="109"/>
      <c r="C547" s="29"/>
      <c r="D547" s="29"/>
      <c r="E547" s="29"/>
      <c r="F547" s="117"/>
      <c r="G547" s="29"/>
      <c r="H547" s="29"/>
      <c r="I547" s="81"/>
      <c r="J547" s="81"/>
      <c r="K547" s="103"/>
      <c r="L547" s="81"/>
      <c r="M547" s="103"/>
      <c r="N547" s="81"/>
      <c r="O547" s="81"/>
      <c r="P547" s="81"/>
      <c r="Q547" s="81"/>
      <c r="R547" s="81"/>
      <c r="S547" s="81"/>
      <c r="T547" s="81"/>
      <c r="U547" s="82"/>
    </row>
    <row r="548" spans="2:21" s="4" customFormat="1" ht="15.75" x14ac:dyDescent="0.25">
      <c r="B548" s="109"/>
      <c r="C548" s="29"/>
      <c r="D548" s="29"/>
      <c r="E548" s="29"/>
      <c r="F548" s="117"/>
      <c r="G548" s="29"/>
      <c r="H548" s="29"/>
      <c r="I548" s="81"/>
      <c r="J548" s="81"/>
      <c r="K548" s="103"/>
      <c r="L548" s="81"/>
      <c r="M548" s="103"/>
      <c r="N548" s="81"/>
      <c r="O548" s="81"/>
      <c r="P548" s="81"/>
      <c r="Q548" s="81"/>
      <c r="R548" s="81"/>
      <c r="S548" s="81"/>
      <c r="T548" s="81"/>
      <c r="U548" s="82"/>
    </row>
    <row r="549" spans="2:21" s="4" customFormat="1" ht="15.75" x14ac:dyDescent="0.25">
      <c r="B549" s="109"/>
      <c r="C549" s="29"/>
      <c r="D549" s="29"/>
      <c r="E549" s="29"/>
      <c r="F549" s="117"/>
      <c r="G549" s="29"/>
      <c r="H549" s="29"/>
      <c r="I549" s="81"/>
      <c r="J549" s="81"/>
      <c r="K549" s="103"/>
      <c r="L549" s="81"/>
      <c r="M549" s="103"/>
      <c r="N549" s="81"/>
      <c r="O549" s="81"/>
      <c r="P549" s="81"/>
      <c r="Q549" s="81"/>
      <c r="R549" s="81"/>
      <c r="S549" s="81"/>
      <c r="T549" s="81"/>
      <c r="U549" s="82"/>
    </row>
    <row r="550" spans="2:21" s="4" customFormat="1" ht="15.75" x14ac:dyDescent="0.25">
      <c r="B550" s="109"/>
      <c r="C550" s="29"/>
      <c r="D550" s="29"/>
      <c r="E550" s="29"/>
      <c r="F550" s="117"/>
      <c r="G550" s="29"/>
      <c r="H550" s="29"/>
      <c r="I550" s="81"/>
      <c r="J550" s="81"/>
      <c r="K550" s="103"/>
      <c r="L550" s="81"/>
      <c r="M550" s="103"/>
      <c r="N550" s="81"/>
      <c r="O550" s="81"/>
      <c r="P550" s="81"/>
      <c r="Q550" s="81"/>
      <c r="R550" s="81"/>
      <c r="S550" s="81"/>
      <c r="T550" s="81"/>
      <c r="U550" s="82"/>
    </row>
    <row r="551" spans="2:21" s="4" customFormat="1" ht="15.75" x14ac:dyDescent="0.25">
      <c r="B551" s="109"/>
      <c r="C551" s="29"/>
      <c r="D551" s="29"/>
      <c r="E551" s="29"/>
      <c r="F551" s="117"/>
      <c r="G551" s="29"/>
      <c r="H551" s="29"/>
      <c r="I551" s="81"/>
      <c r="J551" s="81"/>
      <c r="K551" s="103"/>
      <c r="L551" s="81"/>
      <c r="M551" s="103"/>
      <c r="N551" s="81"/>
      <c r="O551" s="81"/>
      <c r="P551" s="81"/>
      <c r="Q551" s="81"/>
      <c r="R551" s="81"/>
      <c r="S551" s="81"/>
      <c r="T551" s="81"/>
      <c r="U551" s="82"/>
    </row>
    <row r="552" spans="2:21" s="4" customFormat="1" ht="15.75" x14ac:dyDescent="0.25">
      <c r="B552" s="109"/>
      <c r="C552" s="29"/>
      <c r="D552" s="29"/>
      <c r="E552" s="29"/>
      <c r="F552" s="117"/>
      <c r="G552" s="29"/>
      <c r="H552" s="29"/>
      <c r="I552" s="81"/>
      <c r="J552" s="81"/>
      <c r="K552" s="103"/>
      <c r="L552" s="81"/>
      <c r="M552" s="103"/>
      <c r="N552" s="81"/>
      <c r="O552" s="81"/>
      <c r="P552" s="81"/>
      <c r="Q552" s="81"/>
      <c r="R552" s="81"/>
      <c r="S552" s="81"/>
      <c r="T552" s="81"/>
      <c r="U552" s="82"/>
    </row>
    <row r="553" spans="2:21" s="4" customFormat="1" ht="15.75" x14ac:dyDescent="0.25">
      <c r="B553" s="109"/>
      <c r="C553" s="29"/>
      <c r="D553" s="29"/>
      <c r="E553" s="29"/>
      <c r="F553" s="117"/>
      <c r="G553" s="29"/>
      <c r="H553" s="29"/>
      <c r="I553" s="81"/>
      <c r="J553" s="81"/>
      <c r="K553" s="103"/>
      <c r="L553" s="81"/>
      <c r="M553" s="103"/>
      <c r="N553" s="81"/>
      <c r="O553" s="81"/>
      <c r="P553" s="81"/>
      <c r="Q553" s="81"/>
      <c r="R553" s="81"/>
      <c r="S553" s="81"/>
      <c r="T553" s="81"/>
      <c r="U553" s="82"/>
    </row>
    <row r="554" spans="2:21" s="4" customFormat="1" ht="15.75" x14ac:dyDescent="0.25">
      <c r="B554" s="109"/>
      <c r="C554" s="29"/>
      <c r="D554" s="29"/>
      <c r="E554" s="29"/>
      <c r="F554" s="117"/>
      <c r="G554" s="29"/>
      <c r="H554" s="29"/>
      <c r="I554" s="81"/>
      <c r="J554" s="81"/>
      <c r="K554" s="103"/>
      <c r="L554" s="81"/>
      <c r="M554" s="103"/>
      <c r="N554" s="81"/>
      <c r="O554" s="81"/>
      <c r="P554" s="81"/>
      <c r="Q554" s="81"/>
      <c r="R554" s="81"/>
      <c r="S554" s="81"/>
      <c r="T554" s="81"/>
      <c r="U554" s="82"/>
    </row>
    <row r="555" spans="2:21" s="4" customFormat="1" ht="15.75" x14ac:dyDescent="0.25">
      <c r="B555" s="109"/>
      <c r="C555" s="29"/>
      <c r="D555" s="29"/>
      <c r="E555" s="29"/>
      <c r="F555" s="117"/>
      <c r="G555" s="29"/>
      <c r="H555" s="29"/>
      <c r="I555" s="81"/>
      <c r="J555" s="81"/>
      <c r="K555" s="103"/>
      <c r="L555" s="81"/>
      <c r="M555" s="103"/>
      <c r="N555" s="81"/>
      <c r="O555" s="81"/>
      <c r="P555" s="81"/>
      <c r="Q555" s="81"/>
      <c r="R555" s="81"/>
      <c r="S555" s="81"/>
      <c r="T555" s="81"/>
      <c r="U555" s="82"/>
    </row>
    <row r="556" spans="2:21" s="4" customFormat="1" ht="15.75" x14ac:dyDescent="0.25">
      <c r="B556" s="109"/>
      <c r="C556" s="29"/>
      <c r="D556" s="29"/>
      <c r="E556" s="29"/>
      <c r="F556" s="117"/>
      <c r="G556" s="29"/>
      <c r="H556" s="29"/>
      <c r="I556" s="81"/>
      <c r="J556" s="81"/>
      <c r="K556" s="103"/>
      <c r="L556" s="81"/>
      <c r="M556" s="103"/>
      <c r="N556" s="81"/>
      <c r="O556" s="81"/>
      <c r="P556" s="81"/>
      <c r="Q556" s="81"/>
      <c r="R556" s="81"/>
      <c r="S556" s="81"/>
      <c r="T556" s="81"/>
      <c r="U556" s="82"/>
    </row>
    <row r="557" spans="2:21" s="4" customFormat="1" ht="15.75" x14ac:dyDescent="0.25">
      <c r="B557" s="109"/>
      <c r="C557" s="29"/>
      <c r="D557" s="29"/>
      <c r="E557" s="29"/>
      <c r="F557" s="117"/>
      <c r="G557" s="29"/>
      <c r="H557" s="29"/>
      <c r="I557" s="81"/>
      <c r="J557" s="81"/>
      <c r="K557" s="103"/>
      <c r="L557" s="81"/>
      <c r="M557" s="103"/>
      <c r="N557" s="81"/>
      <c r="O557" s="81"/>
      <c r="P557" s="81"/>
      <c r="Q557" s="81"/>
      <c r="R557" s="81"/>
      <c r="S557" s="81"/>
      <c r="T557" s="81"/>
      <c r="U557" s="82"/>
    </row>
    <row r="558" spans="2:21" s="4" customFormat="1" ht="15.75" x14ac:dyDescent="0.25">
      <c r="B558" s="109"/>
      <c r="C558" s="29"/>
      <c r="D558" s="29"/>
      <c r="E558" s="29"/>
      <c r="F558" s="117"/>
      <c r="G558" s="29"/>
      <c r="H558" s="29"/>
      <c r="I558" s="81"/>
      <c r="J558" s="81"/>
      <c r="K558" s="103"/>
      <c r="L558" s="81"/>
      <c r="M558" s="103"/>
      <c r="N558" s="81"/>
      <c r="O558" s="81"/>
      <c r="P558" s="81"/>
      <c r="Q558" s="81"/>
      <c r="R558" s="81"/>
      <c r="S558" s="81"/>
      <c r="T558" s="81"/>
      <c r="U558" s="82"/>
    </row>
    <row r="559" spans="2:21" s="4" customFormat="1" ht="15.75" x14ac:dyDescent="0.25">
      <c r="B559" s="109"/>
      <c r="C559" s="29"/>
      <c r="D559" s="29"/>
      <c r="E559" s="29"/>
      <c r="F559" s="117"/>
      <c r="G559" s="29"/>
      <c r="H559" s="29"/>
      <c r="I559" s="81"/>
      <c r="J559" s="81"/>
      <c r="K559" s="103"/>
      <c r="L559" s="81"/>
      <c r="M559" s="103"/>
      <c r="N559" s="81"/>
      <c r="O559" s="81"/>
      <c r="P559" s="81"/>
      <c r="Q559" s="81"/>
      <c r="R559" s="81"/>
      <c r="S559" s="81"/>
      <c r="T559" s="81"/>
      <c r="U559" s="82"/>
    </row>
    <row r="560" spans="2:21" s="4" customFormat="1" ht="15.75" x14ac:dyDescent="0.25">
      <c r="B560" s="109"/>
      <c r="C560" s="29"/>
      <c r="D560" s="29"/>
      <c r="E560" s="29"/>
      <c r="F560" s="117"/>
      <c r="G560" s="29"/>
      <c r="H560" s="29"/>
      <c r="I560" s="81"/>
      <c r="J560" s="81"/>
      <c r="K560" s="103"/>
      <c r="L560" s="81"/>
      <c r="M560" s="103"/>
      <c r="N560" s="81"/>
      <c r="O560" s="81"/>
      <c r="P560" s="81"/>
      <c r="Q560" s="81"/>
      <c r="R560" s="81"/>
      <c r="S560" s="81"/>
      <c r="T560" s="81"/>
      <c r="U560" s="82"/>
    </row>
    <row r="561" spans="2:21" s="4" customFormat="1" ht="15.75" x14ac:dyDescent="0.25">
      <c r="B561" s="109"/>
      <c r="C561" s="29"/>
      <c r="D561" s="29"/>
      <c r="E561" s="29"/>
      <c r="F561" s="117"/>
      <c r="G561" s="29"/>
      <c r="H561" s="29"/>
      <c r="I561" s="81"/>
      <c r="J561" s="81"/>
      <c r="K561" s="103"/>
      <c r="L561" s="81"/>
      <c r="M561" s="103"/>
      <c r="N561" s="81"/>
      <c r="O561" s="81"/>
      <c r="P561" s="81"/>
      <c r="Q561" s="81"/>
      <c r="R561" s="81"/>
      <c r="S561" s="81"/>
      <c r="T561" s="81"/>
      <c r="U561" s="82"/>
    </row>
    <row r="562" spans="2:21" s="4" customFormat="1" ht="15.75" x14ac:dyDescent="0.25">
      <c r="B562" s="109"/>
      <c r="C562" s="29"/>
      <c r="D562" s="29"/>
      <c r="E562" s="29"/>
      <c r="F562" s="117"/>
      <c r="G562" s="29"/>
      <c r="H562" s="29"/>
      <c r="I562" s="81"/>
      <c r="J562" s="81"/>
      <c r="K562" s="103"/>
      <c r="L562" s="81"/>
      <c r="M562" s="103"/>
      <c r="N562" s="81"/>
      <c r="O562" s="81"/>
      <c r="P562" s="81"/>
      <c r="Q562" s="81"/>
      <c r="R562" s="81"/>
      <c r="S562" s="81"/>
      <c r="T562" s="81"/>
      <c r="U562" s="82"/>
    </row>
    <row r="563" spans="2:21" s="4" customFormat="1" ht="15.75" x14ac:dyDescent="0.25">
      <c r="B563" s="109"/>
      <c r="C563" s="29"/>
      <c r="D563" s="29"/>
      <c r="E563" s="29"/>
      <c r="F563" s="117"/>
      <c r="G563" s="29"/>
      <c r="H563" s="29"/>
      <c r="I563" s="81"/>
      <c r="J563" s="81"/>
      <c r="K563" s="103"/>
      <c r="L563" s="81"/>
      <c r="M563" s="103"/>
      <c r="N563" s="81"/>
      <c r="O563" s="81"/>
      <c r="P563" s="81"/>
      <c r="Q563" s="81"/>
      <c r="R563" s="81"/>
      <c r="S563" s="81"/>
      <c r="T563" s="81"/>
      <c r="U563" s="82"/>
    </row>
    <row r="564" spans="2:21" s="4" customFormat="1" ht="15.75" x14ac:dyDescent="0.25">
      <c r="B564" s="109"/>
      <c r="C564" s="29"/>
      <c r="D564" s="29"/>
      <c r="E564" s="29"/>
      <c r="F564" s="117"/>
      <c r="G564" s="29"/>
      <c r="H564" s="29"/>
      <c r="I564" s="81"/>
      <c r="J564" s="81"/>
      <c r="K564" s="103"/>
      <c r="L564" s="81"/>
      <c r="M564" s="103"/>
      <c r="N564" s="81"/>
      <c r="O564" s="81"/>
      <c r="P564" s="81"/>
      <c r="Q564" s="81"/>
      <c r="R564" s="81"/>
      <c r="S564" s="81"/>
      <c r="T564" s="81"/>
      <c r="U564" s="82"/>
    </row>
    <row r="565" spans="2:21" s="4" customFormat="1" ht="15.75" x14ac:dyDescent="0.25">
      <c r="B565" s="109"/>
      <c r="C565" s="29"/>
      <c r="D565" s="29"/>
      <c r="E565" s="29"/>
      <c r="F565" s="117"/>
      <c r="G565" s="29"/>
      <c r="H565" s="29"/>
      <c r="I565" s="81"/>
      <c r="J565" s="81"/>
      <c r="K565" s="103"/>
      <c r="L565" s="81"/>
      <c r="M565" s="103"/>
      <c r="N565" s="81"/>
      <c r="O565" s="81"/>
      <c r="P565" s="81"/>
      <c r="Q565" s="81"/>
      <c r="R565" s="81"/>
      <c r="S565" s="81"/>
      <c r="T565" s="81"/>
      <c r="U565" s="82"/>
    </row>
    <row r="566" spans="2:21" s="4" customFormat="1" ht="15.75" x14ac:dyDescent="0.25">
      <c r="B566" s="109"/>
      <c r="C566" s="29"/>
      <c r="D566" s="29"/>
      <c r="E566" s="29"/>
      <c r="F566" s="117"/>
      <c r="G566" s="29"/>
      <c r="H566" s="29"/>
      <c r="I566" s="81"/>
      <c r="J566" s="81"/>
      <c r="K566" s="103"/>
      <c r="L566" s="81"/>
      <c r="M566" s="103"/>
      <c r="N566" s="81"/>
      <c r="O566" s="81"/>
      <c r="P566" s="81"/>
      <c r="Q566" s="81"/>
      <c r="R566" s="81"/>
      <c r="S566" s="81"/>
      <c r="T566" s="81"/>
      <c r="U566" s="82"/>
    </row>
    <row r="567" spans="2:21" s="4" customFormat="1" ht="15.75" x14ac:dyDescent="0.25">
      <c r="B567" s="109"/>
      <c r="C567" s="29"/>
      <c r="D567" s="29"/>
      <c r="E567" s="29"/>
      <c r="F567" s="117"/>
      <c r="G567" s="29"/>
      <c r="H567" s="29"/>
      <c r="I567" s="81"/>
      <c r="J567" s="81"/>
      <c r="K567" s="103"/>
      <c r="L567" s="81"/>
      <c r="M567" s="103"/>
      <c r="N567" s="81"/>
      <c r="O567" s="81"/>
      <c r="P567" s="81"/>
      <c r="Q567" s="81"/>
      <c r="R567" s="81"/>
      <c r="S567" s="81"/>
      <c r="T567" s="81"/>
      <c r="U567" s="82"/>
    </row>
    <row r="568" spans="2:21" s="4" customFormat="1" ht="15.75" x14ac:dyDescent="0.25">
      <c r="B568" s="109"/>
      <c r="C568" s="29"/>
      <c r="D568" s="29"/>
      <c r="E568" s="29"/>
      <c r="F568" s="117"/>
      <c r="G568" s="29"/>
      <c r="H568" s="29"/>
      <c r="I568" s="81"/>
      <c r="J568" s="81"/>
      <c r="K568" s="103"/>
      <c r="L568" s="81"/>
      <c r="M568" s="103"/>
      <c r="N568" s="81"/>
      <c r="O568" s="81"/>
      <c r="P568" s="81"/>
      <c r="Q568" s="81"/>
      <c r="R568" s="81"/>
      <c r="S568" s="81"/>
      <c r="T568" s="81"/>
      <c r="U568" s="82"/>
    </row>
    <row r="569" spans="2:21" s="4" customFormat="1" ht="15.75" x14ac:dyDescent="0.25">
      <c r="B569" s="109"/>
      <c r="C569" s="29"/>
      <c r="D569" s="29"/>
      <c r="E569" s="29"/>
      <c r="F569" s="117"/>
      <c r="G569" s="29"/>
      <c r="H569" s="29"/>
      <c r="I569" s="81"/>
      <c r="J569" s="81"/>
      <c r="K569" s="103"/>
      <c r="L569" s="81"/>
      <c r="M569" s="103"/>
      <c r="N569" s="81"/>
      <c r="O569" s="81"/>
      <c r="P569" s="81"/>
      <c r="Q569" s="81"/>
      <c r="R569" s="81"/>
      <c r="S569" s="81"/>
      <c r="T569" s="81"/>
      <c r="U569" s="82"/>
    </row>
    <row r="570" spans="2:21" s="4" customFormat="1" ht="15.75" x14ac:dyDescent="0.25">
      <c r="B570" s="109"/>
      <c r="C570" s="29"/>
      <c r="D570" s="29"/>
      <c r="E570" s="29"/>
      <c r="F570" s="117"/>
      <c r="G570" s="29"/>
      <c r="H570" s="29"/>
      <c r="I570" s="81"/>
      <c r="J570" s="81"/>
      <c r="K570" s="103"/>
      <c r="L570" s="81"/>
      <c r="M570" s="103"/>
      <c r="N570" s="81"/>
      <c r="O570" s="81"/>
      <c r="P570" s="81"/>
      <c r="Q570" s="81"/>
      <c r="R570" s="81"/>
      <c r="S570" s="81"/>
      <c r="T570" s="81"/>
      <c r="U570" s="82"/>
    </row>
    <row r="571" spans="2:21" s="4" customFormat="1" ht="15.75" x14ac:dyDescent="0.25">
      <c r="B571" s="109"/>
      <c r="C571" s="29"/>
      <c r="D571" s="29"/>
      <c r="E571" s="29"/>
      <c r="F571" s="117"/>
      <c r="G571" s="29"/>
      <c r="H571" s="29"/>
      <c r="I571" s="81"/>
      <c r="J571" s="81"/>
      <c r="K571" s="103"/>
      <c r="L571" s="81"/>
      <c r="M571" s="103"/>
      <c r="N571" s="81"/>
      <c r="O571" s="81"/>
      <c r="P571" s="81"/>
      <c r="Q571" s="81"/>
      <c r="R571" s="81"/>
      <c r="S571" s="81"/>
      <c r="T571" s="81"/>
      <c r="U571" s="82"/>
    </row>
    <row r="572" spans="2:21" s="4" customFormat="1" ht="15.75" x14ac:dyDescent="0.25">
      <c r="B572" s="109"/>
      <c r="C572" s="29"/>
      <c r="D572" s="29"/>
      <c r="E572" s="29"/>
      <c r="F572" s="117"/>
      <c r="G572" s="29"/>
      <c r="H572" s="29"/>
      <c r="I572" s="81"/>
      <c r="J572" s="81"/>
      <c r="K572" s="103"/>
      <c r="L572" s="81"/>
      <c r="M572" s="103"/>
      <c r="N572" s="81"/>
      <c r="O572" s="81"/>
      <c r="P572" s="81"/>
      <c r="Q572" s="81"/>
      <c r="R572" s="81"/>
      <c r="S572" s="81"/>
      <c r="T572" s="81"/>
      <c r="U572" s="82"/>
    </row>
    <row r="573" spans="2:21" s="4" customFormat="1" ht="15.75" x14ac:dyDescent="0.25">
      <c r="B573" s="109"/>
      <c r="C573" s="29"/>
      <c r="D573" s="29"/>
      <c r="E573" s="29"/>
      <c r="F573" s="117"/>
      <c r="G573" s="29"/>
      <c r="H573" s="29"/>
      <c r="I573" s="81"/>
      <c r="J573" s="81"/>
      <c r="K573" s="103"/>
      <c r="L573" s="81"/>
      <c r="M573" s="103"/>
      <c r="N573" s="81"/>
      <c r="O573" s="81"/>
      <c r="P573" s="81"/>
      <c r="Q573" s="81"/>
      <c r="R573" s="81"/>
      <c r="S573" s="81"/>
      <c r="T573" s="81"/>
      <c r="U573" s="82"/>
    </row>
    <row r="574" spans="2:21" s="4" customFormat="1" ht="15.75" x14ac:dyDescent="0.25">
      <c r="B574" s="109"/>
      <c r="C574" s="29"/>
      <c r="D574" s="29"/>
      <c r="E574" s="29"/>
      <c r="F574" s="117"/>
      <c r="G574" s="29"/>
      <c r="H574" s="29"/>
      <c r="I574" s="81"/>
      <c r="J574" s="81"/>
      <c r="K574" s="103"/>
      <c r="L574" s="81"/>
      <c r="M574" s="103"/>
      <c r="N574" s="81"/>
      <c r="O574" s="81"/>
      <c r="P574" s="81"/>
      <c r="Q574" s="81"/>
      <c r="R574" s="81"/>
      <c r="S574" s="81"/>
      <c r="T574" s="81"/>
      <c r="U574" s="82"/>
    </row>
    <row r="575" spans="2:21" s="4" customFormat="1" ht="15.75" x14ac:dyDescent="0.25">
      <c r="B575" s="109"/>
      <c r="C575" s="29"/>
      <c r="D575" s="29"/>
      <c r="E575" s="29"/>
      <c r="F575" s="117"/>
      <c r="G575" s="29"/>
      <c r="H575" s="29"/>
      <c r="I575" s="81"/>
      <c r="J575" s="81"/>
      <c r="K575" s="103"/>
      <c r="L575" s="81"/>
      <c r="M575" s="103"/>
      <c r="N575" s="81"/>
      <c r="O575" s="81"/>
      <c r="P575" s="81"/>
      <c r="Q575" s="81"/>
      <c r="R575" s="81"/>
      <c r="S575" s="81"/>
      <c r="T575" s="81"/>
      <c r="U575" s="82"/>
    </row>
    <row r="576" spans="2:21" s="4" customFormat="1" ht="15.75" x14ac:dyDescent="0.25">
      <c r="B576" s="109"/>
      <c r="C576" s="29"/>
      <c r="D576" s="29"/>
      <c r="E576" s="29"/>
      <c r="F576" s="117"/>
      <c r="G576" s="29"/>
      <c r="H576" s="29"/>
      <c r="I576" s="81"/>
      <c r="J576" s="81"/>
      <c r="K576" s="103"/>
      <c r="L576" s="81"/>
      <c r="M576" s="103"/>
      <c r="N576" s="81"/>
      <c r="O576" s="81"/>
      <c r="P576" s="81"/>
      <c r="Q576" s="81"/>
      <c r="R576" s="81"/>
      <c r="S576" s="81"/>
      <c r="T576" s="81"/>
      <c r="U576" s="82"/>
    </row>
    <row r="577" spans="2:21" s="4" customFormat="1" ht="15.75" x14ac:dyDescent="0.25">
      <c r="B577" s="109"/>
      <c r="C577" s="29"/>
      <c r="D577" s="29"/>
      <c r="E577" s="29"/>
      <c r="F577" s="117"/>
      <c r="G577" s="29"/>
      <c r="H577" s="29"/>
      <c r="I577" s="81"/>
      <c r="J577" s="81"/>
      <c r="K577" s="103"/>
      <c r="L577" s="81"/>
      <c r="M577" s="103"/>
      <c r="N577" s="81"/>
      <c r="O577" s="81"/>
      <c r="P577" s="81"/>
      <c r="Q577" s="81"/>
      <c r="R577" s="81"/>
      <c r="S577" s="81"/>
      <c r="T577" s="81"/>
      <c r="U577" s="82"/>
    </row>
    <row r="578" spans="2:21" s="4" customFormat="1" ht="15.75" x14ac:dyDescent="0.25">
      <c r="B578" s="109"/>
      <c r="C578" s="29"/>
      <c r="D578" s="29"/>
      <c r="E578" s="29"/>
      <c r="F578" s="117"/>
      <c r="G578" s="29"/>
      <c r="H578" s="29"/>
      <c r="I578" s="81"/>
      <c r="J578" s="81"/>
      <c r="K578" s="103"/>
      <c r="L578" s="81"/>
      <c r="M578" s="103"/>
      <c r="N578" s="81"/>
      <c r="O578" s="81"/>
      <c r="P578" s="81"/>
      <c r="Q578" s="81"/>
      <c r="R578" s="81"/>
      <c r="S578" s="81"/>
      <c r="T578" s="81"/>
      <c r="U578" s="82"/>
    </row>
    <row r="579" spans="2:21" s="4" customFormat="1" ht="15.75" x14ac:dyDescent="0.25">
      <c r="B579" s="109"/>
      <c r="C579" s="29"/>
      <c r="D579" s="29"/>
      <c r="E579" s="29"/>
      <c r="F579" s="117"/>
      <c r="G579" s="29"/>
      <c r="H579" s="29"/>
      <c r="I579" s="81"/>
      <c r="J579" s="81"/>
      <c r="K579" s="103"/>
      <c r="L579" s="81"/>
      <c r="M579" s="103"/>
      <c r="N579" s="81"/>
      <c r="O579" s="81"/>
      <c r="P579" s="81"/>
      <c r="Q579" s="81"/>
      <c r="R579" s="81"/>
      <c r="S579" s="81"/>
      <c r="T579" s="81"/>
      <c r="U579" s="82"/>
    </row>
    <row r="580" spans="2:21" s="4" customFormat="1" ht="15.75" x14ac:dyDescent="0.25">
      <c r="B580" s="109"/>
      <c r="C580" s="29"/>
      <c r="D580" s="29"/>
      <c r="E580" s="29"/>
      <c r="F580" s="117"/>
      <c r="G580" s="29"/>
      <c r="H580" s="29"/>
      <c r="I580" s="81"/>
      <c r="J580" s="81"/>
      <c r="K580" s="103"/>
      <c r="L580" s="81"/>
      <c r="M580" s="103"/>
      <c r="N580" s="81"/>
      <c r="O580" s="81"/>
      <c r="P580" s="81"/>
      <c r="Q580" s="81"/>
      <c r="R580" s="81"/>
      <c r="S580" s="81"/>
      <c r="T580" s="81"/>
      <c r="U580" s="82"/>
    </row>
    <row r="581" spans="2:21" s="4" customFormat="1" ht="15.75" x14ac:dyDescent="0.25">
      <c r="B581" s="109"/>
      <c r="C581" s="29"/>
      <c r="D581" s="29"/>
      <c r="E581" s="29"/>
      <c r="F581" s="117"/>
      <c r="G581" s="29"/>
      <c r="H581" s="29"/>
      <c r="I581" s="81"/>
      <c r="J581" s="81"/>
      <c r="K581" s="103"/>
      <c r="L581" s="81"/>
      <c r="M581" s="103"/>
      <c r="N581" s="81"/>
      <c r="O581" s="81"/>
      <c r="P581" s="81"/>
      <c r="Q581" s="81"/>
      <c r="R581" s="81"/>
      <c r="S581" s="81"/>
      <c r="T581" s="81"/>
      <c r="U581" s="82"/>
    </row>
    <row r="582" spans="2:21" s="4" customFormat="1" ht="15.75" x14ac:dyDescent="0.25">
      <c r="B582" s="109"/>
      <c r="C582" s="29"/>
      <c r="D582" s="29"/>
      <c r="E582" s="29"/>
      <c r="F582" s="117"/>
      <c r="G582" s="29"/>
      <c r="H582" s="29"/>
      <c r="I582" s="81"/>
      <c r="J582" s="81"/>
      <c r="K582" s="103"/>
      <c r="L582" s="81"/>
      <c r="M582" s="103"/>
      <c r="N582" s="81"/>
      <c r="O582" s="81"/>
      <c r="P582" s="81"/>
      <c r="Q582" s="81"/>
      <c r="R582" s="81"/>
      <c r="S582" s="81"/>
      <c r="T582" s="81"/>
      <c r="U582" s="82"/>
    </row>
    <row r="583" spans="2:21" s="4" customFormat="1" ht="15.75" x14ac:dyDescent="0.25">
      <c r="B583" s="109"/>
      <c r="C583" s="29"/>
      <c r="D583" s="29"/>
      <c r="E583" s="29"/>
      <c r="F583" s="117"/>
      <c r="G583" s="29"/>
      <c r="H583" s="29"/>
      <c r="I583" s="81"/>
      <c r="J583" s="81"/>
      <c r="K583" s="103"/>
      <c r="L583" s="81"/>
      <c r="M583" s="103"/>
      <c r="N583" s="81"/>
      <c r="O583" s="81"/>
      <c r="P583" s="81"/>
      <c r="Q583" s="81"/>
      <c r="R583" s="81"/>
      <c r="S583" s="81"/>
      <c r="T583" s="81"/>
      <c r="U583" s="82"/>
    </row>
    <row r="584" spans="2:21" s="4" customFormat="1" ht="15.75" x14ac:dyDescent="0.25">
      <c r="B584" s="109"/>
      <c r="C584" s="29"/>
      <c r="D584" s="29"/>
      <c r="E584" s="29"/>
      <c r="F584" s="117"/>
      <c r="G584" s="29"/>
      <c r="H584" s="29"/>
      <c r="I584" s="81"/>
      <c r="J584" s="81"/>
      <c r="K584" s="103"/>
      <c r="L584" s="81"/>
      <c r="M584" s="103"/>
      <c r="N584" s="81"/>
      <c r="O584" s="81"/>
      <c r="P584" s="81"/>
      <c r="Q584" s="81"/>
      <c r="R584" s="81"/>
      <c r="S584" s="81"/>
      <c r="T584" s="81"/>
      <c r="U584" s="82"/>
    </row>
    <row r="585" spans="2:21" s="4" customFormat="1" ht="15.75" x14ac:dyDescent="0.25">
      <c r="B585" s="109"/>
      <c r="C585" s="29"/>
      <c r="D585" s="29"/>
      <c r="E585" s="29"/>
      <c r="F585" s="117"/>
      <c r="G585" s="29"/>
      <c r="H585" s="29"/>
      <c r="I585" s="81"/>
      <c r="J585" s="81"/>
      <c r="K585" s="103"/>
      <c r="L585" s="81"/>
      <c r="M585" s="103"/>
      <c r="N585" s="81"/>
      <c r="O585" s="81"/>
      <c r="P585" s="81"/>
      <c r="Q585" s="81"/>
      <c r="R585" s="81"/>
      <c r="S585" s="81"/>
      <c r="T585" s="81"/>
      <c r="U585" s="82"/>
    </row>
    <row r="586" spans="2:21" s="4" customFormat="1" ht="15.75" x14ac:dyDescent="0.25">
      <c r="B586" s="109"/>
      <c r="C586" s="29"/>
      <c r="D586" s="29"/>
      <c r="E586" s="29"/>
      <c r="F586" s="117"/>
      <c r="G586" s="29"/>
      <c r="H586" s="29"/>
      <c r="I586" s="81"/>
      <c r="J586" s="81"/>
      <c r="K586" s="103"/>
      <c r="L586" s="81"/>
      <c r="M586" s="103"/>
      <c r="N586" s="81"/>
      <c r="O586" s="81"/>
      <c r="P586" s="81"/>
      <c r="Q586" s="81"/>
      <c r="R586" s="81"/>
      <c r="S586" s="81"/>
      <c r="T586" s="81"/>
      <c r="U586" s="82"/>
    </row>
    <row r="587" spans="2:21" s="4" customFormat="1" ht="15.75" x14ac:dyDescent="0.25">
      <c r="B587" s="109"/>
      <c r="C587" s="29"/>
      <c r="D587" s="29"/>
      <c r="E587" s="29"/>
      <c r="F587" s="117"/>
      <c r="G587" s="29"/>
      <c r="H587" s="29"/>
      <c r="I587" s="81"/>
      <c r="J587" s="81"/>
      <c r="K587" s="103"/>
      <c r="L587" s="81"/>
      <c r="M587" s="103"/>
      <c r="N587" s="81"/>
      <c r="O587" s="81"/>
      <c r="P587" s="81"/>
      <c r="Q587" s="81"/>
      <c r="R587" s="81"/>
      <c r="S587" s="81"/>
      <c r="T587" s="81"/>
      <c r="U587" s="82"/>
    </row>
    <row r="588" spans="2:21" s="4" customFormat="1" ht="15.75" x14ac:dyDescent="0.25">
      <c r="B588" s="109"/>
      <c r="C588" s="29"/>
      <c r="D588" s="29"/>
      <c r="E588" s="29"/>
      <c r="F588" s="117"/>
      <c r="G588" s="29"/>
      <c r="H588" s="29"/>
      <c r="I588" s="81"/>
      <c r="J588" s="81"/>
      <c r="K588" s="103"/>
      <c r="L588" s="81"/>
      <c r="M588" s="103"/>
      <c r="N588" s="81"/>
      <c r="O588" s="81"/>
      <c r="P588" s="81"/>
      <c r="Q588" s="81"/>
      <c r="R588" s="81"/>
      <c r="S588" s="81"/>
      <c r="T588" s="81"/>
      <c r="U588" s="82"/>
    </row>
    <row r="589" spans="2:21" s="4" customFormat="1" ht="15.75" x14ac:dyDescent="0.25">
      <c r="B589" s="109"/>
      <c r="C589" s="29"/>
      <c r="D589" s="29"/>
      <c r="E589" s="29"/>
      <c r="F589" s="117"/>
      <c r="G589" s="29"/>
      <c r="H589" s="29"/>
      <c r="I589" s="81"/>
      <c r="J589" s="81"/>
      <c r="K589" s="103"/>
      <c r="L589" s="81"/>
      <c r="M589" s="103"/>
      <c r="N589" s="81"/>
      <c r="O589" s="81"/>
      <c r="P589" s="81"/>
      <c r="Q589" s="81"/>
      <c r="R589" s="81"/>
      <c r="S589" s="81"/>
      <c r="T589" s="81"/>
      <c r="U589" s="82"/>
    </row>
    <row r="590" spans="2:21" s="4" customFormat="1" ht="15.75" x14ac:dyDescent="0.25">
      <c r="B590" s="109"/>
      <c r="C590" s="29"/>
      <c r="D590" s="29"/>
      <c r="E590" s="29"/>
      <c r="F590" s="117"/>
      <c r="G590" s="29"/>
      <c r="H590" s="29"/>
      <c r="I590" s="81"/>
      <c r="J590" s="81"/>
      <c r="K590" s="103"/>
      <c r="L590" s="81"/>
      <c r="M590" s="103"/>
      <c r="N590" s="81"/>
      <c r="O590" s="81"/>
      <c r="P590" s="81"/>
      <c r="Q590" s="81"/>
      <c r="R590" s="81"/>
      <c r="S590" s="81"/>
      <c r="T590" s="81"/>
      <c r="U590" s="82"/>
    </row>
    <row r="591" spans="2:21" s="4" customFormat="1" ht="15.75" x14ac:dyDescent="0.25">
      <c r="B591" s="109"/>
      <c r="C591" s="29"/>
      <c r="D591" s="29"/>
      <c r="E591" s="29"/>
      <c r="F591" s="117"/>
      <c r="G591" s="29"/>
      <c r="H591" s="29"/>
      <c r="I591" s="81"/>
      <c r="J591" s="81"/>
      <c r="K591" s="103"/>
      <c r="L591" s="81"/>
      <c r="M591" s="103"/>
      <c r="N591" s="81"/>
      <c r="O591" s="81"/>
      <c r="P591" s="81"/>
      <c r="Q591" s="81"/>
      <c r="R591" s="81"/>
      <c r="S591" s="81"/>
      <c r="T591" s="81"/>
      <c r="U591" s="82"/>
    </row>
    <row r="592" spans="2:21" s="4" customFormat="1" ht="15.75" x14ac:dyDescent="0.25">
      <c r="B592" s="109"/>
      <c r="C592" s="29"/>
      <c r="D592" s="29"/>
      <c r="E592" s="29"/>
      <c r="F592" s="117"/>
      <c r="G592" s="29"/>
      <c r="H592" s="29"/>
      <c r="I592" s="81"/>
      <c r="J592" s="81"/>
      <c r="K592" s="103"/>
      <c r="L592" s="81"/>
      <c r="M592" s="103"/>
      <c r="N592" s="81"/>
      <c r="O592" s="81"/>
      <c r="P592" s="81"/>
      <c r="Q592" s="81"/>
      <c r="R592" s="81"/>
      <c r="S592" s="81"/>
      <c r="T592" s="81"/>
      <c r="U592" s="82"/>
    </row>
    <row r="593" spans="2:21" s="4" customFormat="1" ht="15.75" x14ac:dyDescent="0.25">
      <c r="B593" s="109"/>
      <c r="C593" s="29"/>
      <c r="D593" s="29"/>
      <c r="E593" s="29"/>
      <c r="F593" s="117"/>
      <c r="G593" s="29"/>
      <c r="H593" s="29"/>
      <c r="I593" s="81"/>
      <c r="J593" s="81"/>
      <c r="K593" s="103"/>
      <c r="L593" s="81"/>
      <c r="M593" s="103"/>
      <c r="N593" s="81"/>
      <c r="O593" s="81"/>
      <c r="P593" s="81"/>
      <c r="Q593" s="81"/>
      <c r="R593" s="81"/>
      <c r="S593" s="81"/>
      <c r="T593" s="81"/>
      <c r="U593" s="82"/>
    </row>
    <row r="594" spans="2:21" s="4" customFormat="1" ht="15.75" x14ac:dyDescent="0.25">
      <c r="B594" s="109"/>
      <c r="C594" s="29"/>
      <c r="D594" s="29"/>
      <c r="E594" s="29"/>
      <c r="F594" s="117"/>
      <c r="G594" s="29"/>
      <c r="H594" s="29"/>
      <c r="I594" s="81"/>
      <c r="J594" s="81"/>
      <c r="K594" s="103"/>
      <c r="L594" s="81"/>
      <c r="M594" s="103"/>
      <c r="N594" s="81"/>
      <c r="O594" s="81"/>
      <c r="P594" s="81"/>
      <c r="Q594" s="81"/>
      <c r="R594" s="81"/>
      <c r="S594" s="81"/>
      <c r="T594" s="81"/>
      <c r="U594" s="82"/>
    </row>
    <row r="595" spans="2:21" s="4" customFormat="1" ht="15.75" x14ac:dyDescent="0.25">
      <c r="B595" s="109"/>
      <c r="C595" s="29"/>
      <c r="D595" s="29"/>
      <c r="E595" s="29"/>
      <c r="F595" s="117"/>
      <c r="G595" s="29"/>
      <c r="H595" s="29"/>
      <c r="I595" s="81"/>
      <c r="J595" s="81"/>
      <c r="K595" s="103"/>
      <c r="L595" s="81"/>
      <c r="M595" s="103"/>
      <c r="N595" s="81"/>
      <c r="O595" s="81"/>
      <c r="P595" s="81"/>
      <c r="Q595" s="81"/>
      <c r="R595" s="81"/>
      <c r="S595" s="81"/>
      <c r="T595" s="81"/>
      <c r="U595" s="82"/>
    </row>
    <row r="596" spans="2:21" s="4" customFormat="1" ht="15.75" x14ac:dyDescent="0.25">
      <c r="B596" s="109"/>
      <c r="C596" s="29"/>
      <c r="D596" s="29"/>
      <c r="E596" s="29"/>
      <c r="F596" s="117"/>
      <c r="G596" s="29"/>
      <c r="H596" s="29"/>
      <c r="I596" s="81"/>
      <c r="J596" s="81"/>
      <c r="K596" s="103"/>
      <c r="L596" s="81"/>
      <c r="M596" s="103"/>
      <c r="N596" s="81"/>
      <c r="O596" s="81"/>
      <c r="P596" s="81"/>
      <c r="Q596" s="81"/>
      <c r="R596" s="81"/>
      <c r="S596" s="81"/>
      <c r="T596" s="81"/>
      <c r="U596" s="82"/>
    </row>
    <row r="597" spans="2:21" s="4" customFormat="1" ht="15.75" x14ac:dyDescent="0.25">
      <c r="B597" s="109"/>
      <c r="C597" s="29"/>
      <c r="D597" s="29"/>
      <c r="E597" s="29"/>
      <c r="F597" s="117"/>
      <c r="G597" s="29"/>
      <c r="H597" s="29"/>
      <c r="I597" s="81"/>
      <c r="J597" s="81"/>
      <c r="K597" s="103"/>
      <c r="L597" s="81"/>
      <c r="M597" s="103"/>
      <c r="N597" s="81"/>
      <c r="O597" s="81"/>
      <c r="P597" s="81"/>
      <c r="Q597" s="81"/>
      <c r="R597" s="81"/>
      <c r="S597" s="81"/>
      <c r="T597" s="81"/>
      <c r="U597" s="82"/>
    </row>
    <row r="598" spans="2:21" s="4" customFormat="1" ht="15.75" x14ac:dyDescent="0.25">
      <c r="B598" s="109"/>
      <c r="C598" s="29"/>
      <c r="D598" s="29"/>
      <c r="E598" s="29"/>
      <c r="F598" s="117"/>
      <c r="G598" s="29"/>
      <c r="H598" s="29"/>
      <c r="I598" s="81"/>
      <c r="J598" s="81"/>
      <c r="K598" s="103"/>
      <c r="L598" s="81"/>
      <c r="M598" s="103"/>
      <c r="N598" s="81"/>
      <c r="O598" s="81"/>
      <c r="P598" s="81"/>
      <c r="Q598" s="81"/>
      <c r="R598" s="81"/>
      <c r="S598" s="81"/>
      <c r="T598" s="81"/>
      <c r="U598" s="82"/>
    </row>
    <row r="599" spans="2:21" s="4" customFormat="1" ht="15.75" x14ac:dyDescent="0.25">
      <c r="B599" s="109"/>
      <c r="C599" s="29"/>
      <c r="D599" s="29"/>
      <c r="E599" s="29"/>
      <c r="F599" s="117"/>
      <c r="G599" s="29"/>
      <c r="H599" s="29"/>
      <c r="I599" s="81"/>
      <c r="J599" s="81"/>
      <c r="K599" s="103"/>
      <c r="L599" s="81"/>
      <c r="M599" s="103"/>
      <c r="N599" s="81"/>
      <c r="O599" s="81"/>
      <c r="P599" s="81"/>
      <c r="Q599" s="81"/>
      <c r="R599" s="81"/>
      <c r="S599" s="81"/>
      <c r="T599" s="81"/>
      <c r="U599" s="82"/>
    </row>
  </sheetData>
  <autoFilter ref="B4:U402"/>
  <mergeCells count="3">
    <mergeCell ref="F1:M1"/>
    <mergeCell ref="G3:H3"/>
    <mergeCell ref="P1:T2"/>
  </mergeCells>
  <conditionalFormatting sqref="N1:N4 N32:N1048576">
    <cfRule type="cellIs" dxfId="1" priority="8" operator="between">
      <formula>-0.001</formula>
      <formula>-999999999</formula>
    </cfRule>
  </conditionalFormatting>
  <conditionalFormatting sqref="N5:N31">
    <cfRule type="cellIs" dxfId="0" priority="1" operator="between">
      <formula>-0.001</formula>
      <formula>-999999999</formula>
    </cfRule>
  </conditionalFormatting>
  <dataValidations count="1">
    <dataValidation type="date" allowBlank="1" showInputMessage="1" showErrorMessage="1" sqref="F5:F402">
      <formula1>45292</formula1>
      <formula2>45657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73"/>
  <sheetViews>
    <sheetView showGridLines="0" workbookViewId="0">
      <selection activeCell="D15" sqref="D15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4" width="16.7109375" style="1" customWidth="1"/>
    <col min="5" max="5" width="2.42578125" customWidth="1"/>
  </cols>
  <sheetData>
    <row r="1" spans="2:11" ht="15.75" thickBot="1" x14ac:dyDescent="0.3"/>
    <row r="2" spans="2:11" x14ac:dyDescent="0.25">
      <c r="B2" s="138" t="s">
        <v>36</v>
      </c>
      <c r="C2" s="138" t="s">
        <v>2</v>
      </c>
      <c r="D2" s="140" t="s">
        <v>37</v>
      </c>
    </row>
    <row r="3" spans="2:11" ht="15.75" customHeight="1" thickBot="1" x14ac:dyDescent="0.3">
      <c r="B3" s="139"/>
      <c r="C3" s="139"/>
      <c r="D3" s="141"/>
    </row>
    <row r="4" spans="2:11" x14ac:dyDescent="0.25">
      <c r="B4" s="142" t="s">
        <v>35</v>
      </c>
      <c r="C4" s="12" t="s">
        <v>15</v>
      </c>
      <c r="D4" s="9">
        <f>IF(SUM(COUNTIF('Raw Data'!H5:H499,{"B"})),SUM(SUMIF('Raw Data'!H5:H499,{"B"}, 'Raw Data'!K5:K499))/SUM(COUNTIF('Raw Data'!H5:H499,{"B"})),"NA")</f>
        <v>0.58779856807576036</v>
      </c>
      <c r="K4" s="2">
        <f>SUM('Product Margin Analysis'!D4)</f>
        <v>0.58779856807576036</v>
      </c>
    </row>
    <row r="5" spans="2:11" ht="15.75" thickBot="1" x14ac:dyDescent="0.3">
      <c r="B5" s="143"/>
      <c r="C5" s="13" t="s">
        <v>16</v>
      </c>
      <c r="D5" s="11">
        <f>IF(SUM(COUNTIF('Raw Data'!H5:H499,{"K"})),SUM(SUMIF('Raw Data'!H5:H499,{"K"},'Raw Data'!K5:K499))/SUM(COUNTIF('Raw Data'!H5:H499,{"K"})),"NA")</f>
        <v>0.5889594239681567</v>
      </c>
    </row>
    <row r="6" spans="2:11" x14ac:dyDescent="0.25">
      <c r="B6" s="144" t="s">
        <v>34</v>
      </c>
      <c r="C6" s="12" t="s">
        <v>24</v>
      </c>
      <c r="D6" s="9">
        <f>IF(SUM(COUNTIF('Raw Data'!H5:H499,{"FP","FP-LC","FP-IR","FP-VP","FP-OP"})),SUM(SUMIF('Raw Data'!H5:H499,{"FP","FP-LC","FP-IR","FP-VP","FP-OP"}, 'Raw Data'!K5:K499))/SUM(COUNTIF('Raw Data'!H5:H499,{"FP","FP-LC","FP-IR","FP-VP","FP-OP"})),"NA")</f>
        <v>0.50085987798404807</v>
      </c>
    </row>
    <row r="7" spans="2:11" x14ac:dyDescent="0.25">
      <c r="B7" s="145"/>
      <c r="C7" s="7" t="s">
        <v>14</v>
      </c>
      <c r="D7" s="10">
        <f>IF(SUM(COUNTIF('Raw Data'!H5:H499,{"IR","IR-LC","IR-FP","IR-VP","IR-OP","IR-Sky"})),SUM(SUMIF('Raw Data'!H5:H499,{"IR","IR-LC","IR-FP","IR-VP","IR-OP","IR-Sky"}, 'Raw Data'!K5:K499))/SUM(COUNTIF('Raw Data'!H5:H499,{"IR","IR-LC","IR-FP","IR-VP","IR-OP","IR-Sky"})), "NA")</f>
        <v>0.55770092777319047</v>
      </c>
    </row>
    <row r="8" spans="2:11" x14ac:dyDescent="0.25">
      <c r="B8" s="145"/>
      <c r="C8" s="7" t="s">
        <v>17</v>
      </c>
      <c r="D8" s="10">
        <f>IF(SUM(COUNTIF('Raw Data'!H5:H499,{"LC","LC-IR","LC-FP","LC-VP","LC-OP","LC-Sky"})),SUM(SUMIF('Raw Data'!H5:H499,{"LC","LC-IR","LC-FP","LC-VP","LC-OP","LC-Sky"}, 'Raw Data'!K5:K499))/SUM(COUNTIF('Raw Data'!H5:H499,{"LC","LC-IR","LC-FP","LC-VP","LC-OP","LC-Sky"})),"NA")</f>
        <v>0.55321826162572552</v>
      </c>
    </row>
    <row r="9" spans="2:11" x14ac:dyDescent="0.25">
      <c r="B9" s="145"/>
      <c r="C9" s="7" t="s">
        <v>19</v>
      </c>
      <c r="D9" s="10">
        <f>IF(SUM(COUNTIF('Raw Data'!H5:H499,{"OP","OP-IR","OP-FP","OP-VP","OP-LC"})),SUM(SUMIF('Raw Data'!H5:H499,{"OP","OP-IR","OP-FP","OP-VP","OP-LC"}, 'Raw Data'!K5:K499))/SUM(COUNTIF('Raw Data'!H5:H499,{"OP","OP-IR","OP-FP","OP-VP","OP-LC"})),"NA")</f>
        <v>0.66662947193991506</v>
      </c>
    </row>
    <row r="10" spans="2:11" ht="15.75" thickBot="1" x14ac:dyDescent="0.3">
      <c r="B10" s="146"/>
      <c r="C10" s="13" t="s">
        <v>22</v>
      </c>
      <c r="D10" s="11">
        <f>IF(SUM(COUNTIF('Raw Data'!H5:H499,{"VP","VP-IR","VP-FP","VP-OP","VP-LC"})),SUM(SUMIF('Raw Data'!H5:H499,{"VP","VP-IR","VP-FP","VP-OP","VP-LC"}, 'Raw Data'!K5:K499))/SUM(COUNTIF('Raw Data'!H5:H499,{"VP","VP-IR","VP-FP","VP-OP","VP-LC"})),"NA")</f>
        <v>0.58073499626239589</v>
      </c>
    </row>
    <row r="11" spans="2:11" x14ac:dyDescent="0.25">
      <c r="B11" s="147" t="s">
        <v>32</v>
      </c>
      <c r="C11" s="12" t="s">
        <v>28</v>
      </c>
      <c r="D11" s="9">
        <f>IF(SUM(COUNTIF('Raw Data'!H5:H499,{"SR-206","SR-206-Sky"})),SUM(SUMIF('Raw Data'!H5:H499,{"SR-206","SR-206-Sky"}, 'Raw Data'!K5:K499))/SUM(COUNTIF('Raw Data'!H5:H499,{"SR-206","SR-206-Sky"})),"NA")</f>
        <v>0.43109403823153797</v>
      </c>
    </row>
    <row r="12" spans="2:11" x14ac:dyDescent="0.25">
      <c r="B12" s="148"/>
      <c r="C12" s="7" t="s">
        <v>27</v>
      </c>
      <c r="D12" s="10" t="str">
        <f>IF(SUM(COUNTIF('Raw Data'!H5:H499,{"SR-306","SR-306-Sky"})),SUM(SUMIF('Raw Data'!H5:H499,{"SR-306","SR-306-Sky"}, 'Raw Data'!K5:K499))/SUM(COUNTIF('Raw Data'!H5:H499,{"SR-306","SR-306-Sky"})),"NA")</f>
        <v>NA</v>
      </c>
    </row>
    <row r="13" spans="2:11" x14ac:dyDescent="0.25">
      <c r="B13" s="148"/>
      <c r="C13" s="7" t="s">
        <v>29</v>
      </c>
      <c r="D13" s="10">
        <f>IF(SUM(COUNTIF('Raw Data'!H5:H499,{"SR-406","SR-406-Sky"})),SUM(SUMIF('Raw Data'!H5:H499,{"SR-406","SR-406-Sky"}, 'Raw Data'!K5:K499))/SUM(COUNTIF('Raw Data'!H5:H499,{"SR-406","SR-406-Sky"})),"NA")</f>
        <v>0.49084742951706911</v>
      </c>
    </row>
    <row r="14" spans="2:11" x14ac:dyDescent="0.25">
      <c r="B14" s="148"/>
      <c r="C14" s="7" t="s">
        <v>26</v>
      </c>
      <c r="D14" s="10" t="str">
        <f>IF(SUM(COUNTIF('Raw Data'!H5:H499,{"SR-VV"})),SUM(SUMIF('Raw Data'!H5:H499,{"SR-VV"}, 'Raw Data'!K5:K499))/SUM(COUNTIF('Raw Data'!H5:H499,{"SR-VV"})),"NA")</f>
        <v>NA</v>
      </c>
    </row>
    <row r="15" spans="2:11" ht="15.75" thickBot="1" x14ac:dyDescent="0.3">
      <c r="B15" s="149"/>
      <c r="C15" s="13" t="s">
        <v>30</v>
      </c>
      <c r="D15" s="11" t="str">
        <f>IF(SUM(COUNTIF('Raw Data'!H6:H500,{"SCR-WO"})),SUM(SUMIF('Raw Data'!H6:H500,{"SCR-WO"}, 'Raw Data'!K6:K500))/SUM(COUNTIF('Raw Data'!H6:H500,{"SCR-WO"})),"NA")</f>
        <v>NA</v>
      </c>
    </row>
    <row r="16" spans="2:11" x14ac:dyDescent="0.25">
      <c r="B16" s="133" t="s">
        <v>33</v>
      </c>
      <c r="C16" s="12" t="s">
        <v>53</v>
      </c>
      <c r="D16" s="80">
        <f>IF(SUM(COUNTIF('Raw Data'!H4:H498,{"D"})),SUM(SUMIF('Raw Data'!H4:H498,{"D"}, 'Raw Data'!K4:K498))/SUM(COUNTIF('Raw Data'!H4:H498,{"D"})),"NA")</f>
        <v>0.57078671186019181</v>
      </c>
    </row>
    <row r="17" spans="2:4" x14ac:dyDescent="0.25">
      <c r="B17" s="134"/>
      <c r="C17" s="8" t="s">
        <v>13</v>
      </c>
      <c r="D17" s="10" t="str">
        <f>IF(SUM(COUNTIF('Raw Data'!H5:H499,{"W (A)"})),SUM(SUMIF('Raw Data'!H5:H499,{"W (A)"}, 'Raw Data'!K5:K499))/SUM(COUNTIF('Raw Data'!H5:H499,{"W (A)"})),"NA")</f>
        <v>NA</v>
      </c>
    </row>
    <row r="18" spans="2:4" ht="15.75" thickBot="1" x14ac:dyDescent="0.3">
      <c r="B18" s="135"/>
      <c r="C18" s="13" t="s">
        <v>18</v>
      </c>
      <c r="D18" s="14">
        <f>IF(SUM(COUNTIF('Raw Data'!H5:H499,{"W"})),SUM(SUMIF('Raw Data'!H5:H499,{"W"}, 'Raw Data'!K5:K499))/SUM(COUNTIF('Raw Data'!H5:H499,{"W"})),"NA")</f>
        <v>0.61563182363841551</v>
      </c>
    </row>
    <row r="19" spans="2:4" ht="15.75" customHeight="1" thickBot="1" x14ac:dyDescent="0.3">
      <c r="B19" s="136" t="s">
        <v>31</v>
      </c>
      <c r="C19" s="137"/>
      <c r="D19" s="5">
        <f>'Raw Data'!$K$3</f>
        <v>0.56519508295759135</v>
      </c>
    </row>
    <row r="20" spans="2:4" ht="15.75" thickBot="1" x14ac:dyDescent="0.3"/>
    <row r="21" spans="2:4" ht="15" customHeight="1" x14ac:dyDescent="0.25">
      <c r="B21" s="158" t="s">
        <v>36</v>
      </c>
      <c r="C21" s="140"/>
      <c r="D21" s="138" t="s">
        <v>50</v>
      </c>
    </row>
    <row r="22" spans="2:4" ht="15.75" customHeight="1" thickBot="1" x14ac:dyDescent="0.3">
      <c r="B22" s="159"/>
      <c r="C22" s="141"/>
      <c r="D22" s="139"/>
    </row>
    <row r="23" spans="2:4" ht="15.75" thickBot="1" x14ac:dyDescent="0.3">
      <c r="B23" s="156" t="s">
        <v>59</v>
      </c>
      <c r="C23" s="157"/>
      <c r="D23" s="57">
        <f>D4</f>
        <v>0.58779856807576036</v>
      </c>
    </row>
    <row r="24" spans="2:4" ht="15.75" thickBot="1" x14ac:dyDescent="0.3">
      <c r="B24" s="156" t="s">
        <v>57</v>
      </c>
      <c r="C24" s="157"/>
      <c r="D24" s="57">
        <f>D5</f>
        <v>0.5889594239681567</v>
      </c>
    </row>
    <row r="25" spans="2:4" ht="15.75" thickBot="1" x14ac:dyDescent="0.3">
      <c r="B25" s="150" t="s">
        <v>34</v>
      </c>
      <c r="C25" s="151"/>
      <c r="D25" s="57">
        <f>AVERAGE(D6:D10)</f>
        <v>0.57182870711705502</v>
      </c>
    </row>
    <row r="26" spans="2:4" ht="15.75" thickBot="1" x14ac:dyDescent="0.3">
      <c r="B26" s="152" t="s">
        <v>32</v>
      </c>
      <c r="C26" s="153"/>
      <c r="D26" s="57">
        <f>AVERAGE(D11:D15)</f>
        <v>0.46097073387430354</v>
      </c>
    </row>
    <row r="27" spans="2:4" ht="15.75" thickBot="1" x14ac:dyDescent="0.3">
      <c r="B27" s="154" t="s">
        <v>33</v>
      </c>
      <c r="C27" s="155"/>
      <c r="D27" s="57">
        <f>AVERAGE(D16:D18)</f>
        <v>0.59320926774930371</v>
      </c>
    </row>
    <row r="28" spans="2:4" ht="16.5" thickBot="1" x14ac:dyDescent="0.3">
      <c r="B28" s="136" t="s">
        <v>31</v>
      </c>
      <c r="C28" s="137"/>
      <c r="D28" s="5">
        <f>'Raw Data'!$K$3</f>
        <v>0.56519508295759135</v>
      </c>
    </row>
    <row r="29" spans="2:4" x14ac:dyDescent="0.25">
      <c r="B29" s="50"/>
    </row>
    <row r="30" spans="2:4" x14ac:dyDescent="0.25">
      <c r="B30" s="50"/>
    </row>
    <row r="31" spans="2:4" x14ac:dyDescent="0.25">
      <c r="B31" s="50"/>
    </row>
    <row r="36" spans="2:28" x14ac:dyDescent="0.25">
      <c r="B36" s="50"/>
    </row>
    <row r="37" spans="2:28" ht="15.75" thickBot="1" x14ac:dyDescent="0.3"/>
    <row r="38" spans="2:28" x14ac:dyDescent="0.25">
      <c r="F38" s="54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3"/>
    </row>
    <row r="39" spans="2:28" x14ac:dyDescent="0.25">
      <c r="F39" s="5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/>
    </row>
    <row r="40" spans="2:28" x14ac:dyDescent="0.25">
      <c r="F40" s="5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/>
    </row>
    <row r="41" spans="2:28" x14ac:dyDescent="0.25">
      <c r="F41" s="5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/>
    </row>
    <row r="42" spans="2:28" x14ac:dyDescent="0.25">
      <c r="F42" s="5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/>
    </row>
    <row r="43" spans="2:28" x14ac:dyDescent="0.25">
      <c r="F43" s="5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6"/>
    </row>
    <row r="44" spans="2:28" x14ac:dyDescent="0.25">
      <c r="F44" s="5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6"/>
    </row>
    <row r="45" spans="2:28" x14ac:dyDescent="0.25">
      <c r="F45" s="5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6"/>
    </row>
    <row r="46" spans="2:28" x14ac:dyDescent="0.25">
      <c r="F46" s="5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6"/>
    </row>
    <row r="47" spans="2:28" x14ac:dyDescent="0.25">
      <c r="F47" s="5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6"/>
    </row>
    <row r="48" spans="2:28" x14ac:dyDescent="0.25">
      <c r="F48" s="5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6"/>
    </row>
    <row r="49" spans="6:28" x14ac:dyDescent="0.25">
      <c r="F49" s="5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6"/>
    </row>
    <row r="50" spans="6:28" x14ac:dyDescent="0.25">
      <c r="F50" s="5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6"/>
    </row>
    <row r="51" spans="6:28" x14ac:dyDescent="0.25">
      <c r="F51" s="5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6"/>
    </row>
    <row r="52" spans="6:28" x14ac:dyDescent="0.25">
      <c r="F52" s="5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6"/>
    </row>
    <row r="53" spans="6:28" x14ac:dyDescent="0.25">
      <c r="F53" s="5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6"/>
    </row>
    <row r="54" spans="6:28" x14ac:dyDescent="0.25">
      <c r="F54" s="5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6"/>
    </row>
    <row r="55" spans="6:28" x14ac:dyDescent="0.25">
      <c r="F55" s="5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6"/>
    </row>
    <row r="56" spans="6:28" x14ac:dyDescent="0.25">
      <c r="F56" s="5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</row>
    <row r="57" spans="6:28" x14ac:dyDescent="0.25">
      <c r="F57" s="5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6"/>
    </row>
    <row r="58" spans="6:28" x14ac:dyDescent="0.25">
      <c r="F58" s="5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6"/>
    </row>
    <row r="59" spans="6:28" x14ac:dyDescent="0.25">
      <c r="F59" s="5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6"/>
    </row>
    <row r="60" spans="6:28" x14ac:dyDescent="0.25">
      <c r="F60" s="5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6"/>
    </row>
    <row r="61" spans="6:28" x14ac:dyDescent="0.25">
      <c r="F61" s="5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6"/>
    </row>
    <row r="62" spans="6:28" x14ac:dyDescent="0.25">
      <c r="F62" s="5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6"/>
    </row>
    <row r="63" spans="6:28" x14ac:dyDescent="0.25">
      <c r="F63" s="5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6"/>
    </row>
    <row r="64" spans="6:28" x14ac:dyDescent="0.25">
      <c r="F64" s="5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6"/>
    </row>
    <row r="65" spans="6:28" x14ac:dyDescent="0.25">
      <c r="F65" s="5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6"/>
    </row>
    <row r="66" spans="6:28" x14ac:dyDescent="0.25">
      <c r="F66" s="5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6"/>
    </row>
    <row r="67" spans="6:28" x14ac:dyDescent="0.25">
      <c r="F67" s="5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6"/>
    </row>
    <row r="68" spans="6:28" x14ac:dyDescent="0.25">
      <c r="F68" s="5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6"/>
    </row>
    <row r="69" spans="6:28" x14ac:dyDescent="0.25">
      <c r="F69" s="5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6"/>
    </row>
    <row r="70" spans="6:28" x14ac:dyDescent="0.25">
      <c r="F70" s="5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6"/>
    </row>
    <row r="71" spans="6:28" x14ac:dyDescent="0.25">
      <c r="F71" s="5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6"/>
    </row>
    <row r="72" spans="6:28" x14ac:dyDescent="0.25">
      <c r="F72" s="5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6"/>
    </row>
    <row r="73" spans="6:28" ht="15.75" thickBot="1" x14ac:dyDescent="0.3">
      <c r="F73" s="56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1"/>
    </row>
  </sheetData>
  <mergeCells count="16">
    <mergeCell ref="B25:C25"/>
    <mergeCell ref="B26:C26"/>
    <mergeCell ref="B27:C27"/>
    <mergeCell ref="B28:C28"/>
    <mergeCell ref="D21:D22"/>
    <mergeCell ref="B23:C23"/>
    <mergeCell ref="B21:C22"/>
    <mergeCell ref="B24:C24"/>
    <mergeCell ref="B16:B18"/>
    <mergeCell ref="B19:C19"/>
    <mergeCell ref="B2:B3"/>
    <mergeCell ref="C2:C3"/>
    <mergeCell ref="D2:D3"/>
    <mergeCell ref="B4:B5"/>
    <mergeCell ref="B6:B10"/>
    <mergeCell ref="B11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110"/>
  <sheetViews>
    <sheetView showGridLines="0" workbookViewId="0">
      <selection activeCell="D34" sqref="D34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5" width="16.7109375" style="1" customWidth="1"/>
    <col min="6" max="6" width="2.42578125" customWidth="1"/>
  </cols>
  <sheetData>
    <row r="1" spans="1:12" ht="15.75" thickBot="1" x14ac:dyDescent="0.3"/>
    <row r="2" spans="1:12" x14ac:dyDescent="0.25">
      <c r="B2" s="138" t="s">
        <v>36</v>
      </c>
      <c r="C2" s="138" t="s">
        <v>2</v>
      </c>
      <c r="D2" s="140" t="s">
        <v>3</v>
      </c>
      <c r="E2" s="140" t="s">
        <v>38</v>
      </c>
    </row>
    <row r="3" spans="1:12" ht="15.75" customHeight="1" thickBot="1" x14ac:dyDescent="0.3">
      <c r="B3" s="139"/>
      <c r="C3" s="139"/>
      <c r="D3" s="141"/>
      <c r="E3" s="141"/>
    </row>
    <row r="4" spans="1:12" x14ac:dyDescent="0.25">
      <c r="A4" s="23"/>
      <c r="B4" s="142" t="s">
        <v>35</v>
      </c>
      <c r="C4" s="12" t="s">
        <v>15</v>
      </c>
      <c r="D4" s="15">
        <f>SUM(SUMIF('Raw Data'!$H$5:$H$499,{"B"}, 'Raw Data'!$I$5:$I$499))</f>
        <v>648000.26</v>
      </c>
      <c r="E4" s="15">
        <f>IF(D4,SUM(SUMIF('Raw Data'!$H$5:$H$499,{"B"}, 'Raw Data'!$I$5:$I$499))/SUM(COUNTIF('Raw Data'!$H$5:$H$499,{"B"})),0)</f>
        <v>14400.005777777778</v>
      </c>
      <c r="L4" s="2">
        <f>SUM('Product Revenue Analysis'!D4)</f>
        <v>648000.26</v>
      </c>
    </row>
    <row r="5" spans="1:12" ht="15.75" thickBot="1" x14ac:dyDescent="0.3">
      <c r="A5" s="23"/>
      <c r="B5" s="143"/>
      <c r="C5" s="13" t="s">
        <v>16</v>
      </c>
      <c r="D5" s="18">
        <f>SUM(SUMIF('Raw Data'!$H$5:$H$499,{"K"}, 'Raw Data'!$I$5:$I$499))</f>
        <v>172163.32</v>
      </c>
      <c r="E5" s="18">
        <f>IF(D5,SUM(SUMIF('Raw Data'!$H$5:$H$499,{"K"}, 'Raw Data'!$I$5:$I$499))/SUM(COUNTIF('Raw Data'!$H$5:$H$499,{"K"})),0)</f>
        <v>34432.664000000004</v>
      </c>
    </row>
    <row r="6" spans="1:12" x14ac:dyDescent="0.25">
      <c r="A6" s="23"/>
      <c r="B6" s="144" t="s">
        <v>34</v>
      </c>
      <c r="C6" s="12" t="s">
        <v>24</v>
      </c>
      <c r="D6" s="15">
        <f>SUM(SUMIF('Raw Data'!$H$5:$H$499,{"FP","FP-LC","FP-IR","FP-VP","FP-OP"}, 'Raw Data'!$I$5:$I$499))</f>
        <v>87410.94</v>
      </c>
      <c r="E6" s="15">
        <f>IF(D6,SUM(SUMIF('Raw Data'!$H$5:$H$499,{"FP","FP-LC","FP-IR","FP-VP","FP-OP"}, 'Raw Data'!$I$5:$I$499))/SUM(COUNTIF('Raw Data'!$H$5:$H$499,{"FP","FP-LC","FP-IR","FP-VP","FP-OP"})),0)</f>
        <v>12487.277142857143</v>
      </c>
    </row>
    <row r="7" spans="1:12" x14ac:dyDescent="0.25">
      <c r="A7" s="23"/>
      <c r="B7" s="145"/>
      <c r="C7" s="7" t="s">
        <v>14</v>
      </c>
      <c r="D7" s="17">
        <f>SUM(SUMIF('Raw Data'!$H$5:$H$499,{"IR","IR-LC","IR-FP","IR-VP","IR-OP","IR-Sky"}, 'Raw Data'!$I$5:$I$499))</f>
        <v>19498.3</v>
      </c>
      <c r="E7" s="17">
        <f>IF(D7,SUM(SUMIF('Raw Data'!$H$5:$H$499,{"IR","IR-LC","IR-FP","IR-VP","IR-OP","IR-Sky"}, 'Raw Data'!$I$5:$I$499))/SUM(COUNTIF('Raw Data'!$H$5:$H$499,{"IR","IR-LC","IR-FP","IR-VP","IR-OP","IR-Sky"})),0)</f>
        <v>19498.3</v>
      </c>
    </row>
    <row r="8" spans="1:12" x14ac:dyDescent="0.25">
      <c r="A8" s="23"/>
      <c r="B8" s="145"/>
      <c r="C8" s="7" t="s">
        <v>17</v>
      </c>
      <c r="D8" s="17">
        <f>SUM(SUMIF('Raw Data'!$H$5:$H$499,{"LC","LC-IR","LC-FP","LC-VP","LC-OP","LC-Sky"}, 'Raw Data'!$I$5:$I$499))</f>
        <v>100715.05</v>
      </c>
      <c r="E8" s="18">
        <f>IF(D8,SUM(SUMIF('Raw Data'!$H$5:$H$499,{"LC","LC-IR","LC-FP","LC-VP","LC-OP","LC-Sky"}, 'Raw Data'!$I$5:$I$499))/SUM(COUNTIF('Raw Data'!$H$5:$H$499,{"LC","LC-IR","LC-FP","LC-VP","LC-OP","LC-Sky"})),0)</f>
        <v>12589.38125</v>
      </c>
    </row>
    <row r="9" spans="1:12" x14ac:dyDescent="0.25">
      <c r="A9" s="23"/>
      <c r="B9" s="145"/>
      <c r="C9" s="7" t="s">
        <v>19</v>
      </c>
      <c r="D9" s="17">
        <f>SUM(SUMIF('Raw Data'!$H$5:$H$499,{"OP","OP-IR"}, 'Raw Data'!$I$5:$I$499))</f>
        <v>26975.15</v>
      </c>
      <c r="E9" s="17">
        <f>IF($D9,SUM(SUMIF('Raw Data'!$H$5:$H$499,{"OP","OP-IR"}, 'Raw Data'!$I$5:$I$499))/SUM(COUNTIF('Raw Data'!$H$5:$H$499,{"OP","OP-IR"})), 0)</f>
        <v>26975.15</v>
      </c>
    </row>
    <row r="10" spans="1:12" ht="15.75" thickBot="1" x14ac:dyDescent="0.3">
      <c r="A10" s="23"/>
      <c r="B10" s="146"/>
      <c r="C10" s="13" t="s">
        <v>22</v>
      </c>
      <c r="D10" s="18">
        <f>SUM(SUMIF('Raw Data'!$H$5:$H$499,{"VP","VP-IR","VP-FP","VP-OP","VP-LC"}, 'Raw Data'!$I$5:$I$499))</f>
        <v>29435.7</v>
      </c>
      <c r="E10" s="16">
        <f>IF(D10,SUM(SUMIF('Raw Data'!$H$5:$H$499,{"VP","VP-IR","VP-FP","VP-OP","VP-LC"}, 'Raw Data'!$I$5:$I$499))/SUM(COUNTIF('Raw Data'!$H$5:$H$499,{"VP","VP-IR","VP-FP","VP-OP","VP-LC"})),0)</f>
        <v>9811.9</v>
      </c>
    </row>
    <row r="11" spans="1:12" x14ac:dyDescent="0.25">
      <c r="A11" s="23"/>
      <c r="B11" s="147" t="s">
        <v>32</v>
      </c>
      <c r="C11" s="12" t="s">
        <v>28</v>
      </c>
      <c r="D11" s="15">
        <f>SUM(SUMIF('Raw Data'!$H$5:$H$499,{"SR-206","SR-206-Sky"}, 'Raw Data'!$I$5:$I$499))</f>
        <v>14799.3</v>
      </c>
      <c r="E11" s="15">
        <f>IF(D11,SUM(SUMIF('Raw Data'!$H$5:$H$499,{"SR-206","SR-206-Sky"}, 'Raw Data'!$I$5:$I$499))/SUM(COUNTIF('Raw Data'!$H$5:$H$499,{"SR-206","SR-206-Sky"})),0)</f>
        <v>14799.3</v>
      </c>
    </row>
    <row r="12" spans="1:12" x14ac:dyDescent="0.25">
      <c r="A12" s="23"/>
      <c r="B12" s="148"/>
      <c r="C12" s="7" t="s">
        <v>27</v>
      </c>
      <c r="D12" s="17">
        <f>SUM(SUMIF('Raw Data'!$H$5:$H$499,{"SR-306","SR-306-Sky"}, 'Raw Data'!$I$5:$I$499))</f>
        <v>0</v>
      </c>
      <c r="E12" s="17">
        <f>IF(D12,SUM(SUMIF('Raw Data'!$H$5:$H$499,{"SR-306","SR-306-Sky"}, 'Raw Data'!$I$5:$I$499))/SUM(COUNTIF('Raw Data'!$H$5:$H$499,{"SR-306","SR-306-Sky"})),0)</f>
        <v>0</v>
      </c>
    </row>
    <row r="13" spans="1:12" x14ac:dyDescent="0.25">
      <c r="A13" s="23"/>
      <c r="B13" s="148"/>
      <c r="C13" s="7" t="s">
        <v>29</v>
      </c>
      <c r="D13" s="17">
        <f>SUM(SUMIF('Raw Data'!$H$5:$H$499,{"SR-406","SR-406-Sky"}, 'Raw Data'!$I$5:$I$499))</f>
        <v>381830.03000000009</v>
      </c>
      <c r="E13" s="17">
        <f>IF(D13,SUM(SUMIF('Raw Data'!$H$5:$H$499,{"SR-406","SR-406-Sky"}, 'Raw Data'!$I$5:$I$499))/SUM(COUNTIF('Raw Data'!$H$5:$H$499,{"SR-406","SR-406-Sky"})),0)</f>
        <v>42425.558888888896</v>
      </c>
    </row>
    <row r="14" spans="1:12" x14ac:dyDescent="0.25">
      <c r="A14" s="23"/>
      <c r="B14" s="148"/>
      <c r="C14" s="7" t="s">
        <v>26</v>
      </c>
      <c r="D14" s="17">
        <f>SUM(SUMIF('Raw Data'!$H$5:$H$499,{"SR-VV"}, 'Raw Data'!$I$5:$I$499))</f>
        <v>0</v>
      </c>
      <c r="E14" s="17">
        <f>IF(D14,SUM(SUMIF('Raw Data'!$H$5:$H$499,{"SR-VV"}, 'Raw Data'!$I$5:$I$499))/SUM(COUNTIF('Raw Data'!$H$5:$H$499,{"SR-VV"})),0)</f>
        <v>0</v>
      </c>
    </row>
    <row r="15" spans="1:12" ht="15.75" thickBot="1" x14ac:dyDescent="0.3">
      <c r="B15" s="149"/>
      <c r="C15" s="13" t="s">
        <v>30</v>
      </c>
      <c r="D15" s="18">
        <f>SUM(SUMIF('Raw Data'!$H$5:$H$499,{"SCR-WO"}, 'Raw Data'!$I$5:$I$499))</f>
        <v>0</v>
      </c>
      <c r="E15" s="16">
        <f>IF(D15,SUM(SUMIF('Raw Data'!$H$5:$H$499,{"SCR-WO"},'Raw Data'!$I$5:$I$499))/SUM(COUNTIF('Raw Data'!$H$5:$H$499,{"SCR-WO"})),0)</f>
        <v>0</v>
      </c>
    </row>
    <row r="16" spans="1:12" x14ac:dyDescent="0.25">
      <c r="B16" s="133" t="s">
        <v>33</v>
      </c>
      <c r="C16" s="12" t="s">
        <v>53</v>
      </c>
      <c r="D16" s="15">
        <f>SUM(SUMIF('Raw Data'!$H$5:$H$499,{"D"}, 'Raw Data'!$I$5:$I$499))</f>
        <v>7720.87</v>
      </c>
      <c r="E16" s="18">
        <f>IF(D16,SUM(SUMIF('Raw Data'!$H$5:$H$499,{"D"}, 'Raw Data'!$I$5:$I$499))/SUM(COUNTIF('Raw Data'!$H$5:$H$499,{"D"})),0)</f>
        <v>7720.87</v>
      </c>
    </row>
    <row r="17" spans="2:5" x14ac:dyDescent="0.25">
      <c r="B17" s="134"/>
      <c r="C17" s="8" t="s">
        <v>13</v>
      </c>
      <c r="D17" s="17">
        <f>SUM(SUMIF('Raw Data'!$H$5:$H$499,{"W (A)"}, 'Raw Data'!$I$5:$I$499))</f>
        <v>0</v>
      </c>
      <c r="E17" s="17">
        <f>IF(D17,SUM(SUMIF('Raw Data'!$H$5:$H$499,{"W (A)"}, 'Raw Data'!$I$5:$I$499))/SUM(COUNTIF('Raw Data'!$H$5:$H$499,{"W (A)"})),0)</f>
        <v>0</v>
      </c>
    </row>
    <row r="18" spans="2:5" ht="15.75" thickBot="1" x14ac:dyDescent="0.3">
      <c r="B18" s="135"/>
      <c r="C18" s="13" t="s">
        <v>18</v>
      </c>
      <c r="D18" s="18">
        <f>SUM(SUMIF('Raw Data'!$H$5:$H$499,{"W"}, 'Raw Data'!$I$5:$I$499))</f>
        <v>140154.39000000001</v>
      </c>
      <c r="E18" s="17">
        <f>IF(D18,SUM(SUMIF('Raw Data'!$H$5:$H$499,{"W"}, 'Raw Data'!$I$5:$I$499))/SUM(COUNTIF('Raw Data'!$H$5:$H$499,{"W"})),0)</f>
        <v>28030.878000000004</v>
      </c>
    </row>
    <row r="19" spans="2:5" ht="15.75" customHeight="1" thickBot="1" x14ac:dyDescent="0.3">
      <c r="B19" s="136" t="s">
        <v>31</v>
      </c>
      <c r="C19" s="137"/>
      <c r="D19" s="22">
        <f>SUM(D4:D18)</f>
        <v>1628703.31</v>
      </c>
      <c r="E19" s="22">
        <f>AVERAGE(E4:E18)</f>
        <v>14878.08567063492</v>
      </c>
    </row>
    <row r="20" spans="2:5" ht="15.75" thickBot="1" x14ac:dyDescent="0.3"/>
    <row r="21" spans="2:5" ht="15" customHeight="1" x14ac:dyDescent="0.25">
      <c r="B21" s="158" t="s">
        <v>49</v>
      </c>
      <c r="C21" s="140"/>
      <c r="D21" s="140" t="s">
        <v>3</v>
      </c>
      <c r="E21" s="140" t="s">
        <v>38</v>
      </c>
    </row>
    <row r="22" spans="2:5" ht="15.75" customHeight="1" thickBot="1" x14ac:dyDescent="0.3">
      <c r="B22" s="159"/>
      <c r="C22" s="141"/>
      <c r="D22" s="141"/>
      <c r="E22" s="141"/>
    </row>
    <row r="23" spans="2:5" ht="15.75" thickBot="1" x14ac:dyDescent="0.3">
      <c r="B23" s="156" t="s">
        <v>59</v>
      </c>
      <c r="C23" s="161"/>
      <c r="D23" s="53">
        <f>D4</f>
        <v>648000.26</v>
      </c>
      <c r="E23" s="53">
        <f>E4</f>
        <v>14400.005777777778</v>
      </c>
    </row>
    <row r="24" spans="2:5" ht="15.75" thickBot="1" x14ac:dyDescent="0.3">
      <c r="B24" s="156" t="s">
        <v>57</v>
      </c>
      <c r="C24" s="161"/>
      <c r="D24" s="53">
        <f>D5</f>
        <v>172163.32</v>
      </c>
      <c r="E24" s="53">
        <f>E5</f>
        <v>34432.664000000004</v>
      </c>
    </row>
    <row r="25" spans="2:5" ht="15.75" thickBot="1" x14ac:dyDescent="0.3">
      <c r="B25" s="162" t="s">
        <v>34</v>
      </c>
      <c r="C25" s="163"/>
      <c r="D25" s="18">
        <f>SUM(D6:D10)</f>
        <v>264035.14</v>
      </c>
      <c r="E25" s="18">
        <f>AVERAGE(E6:E10)</f>
        <v>16272.401678571428</v>
      </c>
    </row>
    <row r="26" spans="2:5" ht="15.75" thickBot="1" x14ac:dyDescent="0.3">
      <c r="B26" s="152" t="s">
        <v>32</v>
      </c>
      <c r="C26" s="164"/>
      <c r="D26" s="53">
        <f>SUM(D11:D15)</f>
        <v>396629.33000000007</v>
      </c>
      <c r="E26" s="53">
        <f>AVERAGE(E11:E15)</f>
        <v>11444.971777777779</v>
      </c>
    </row>
    <row r="27" spans="2:5" ht="15.75" thickBot="1" x14ac:dyDescent="0.3">
      <c r="B27" s="154" t="s">
        <v>33</v>
      </c>
      <c r="C27" s="165"/>
      <c r="D27" s="53">
        <f>SUM(D16:D18)</f>
        <v>147875.26</v>
      </c>
      <c r="E27" s="53">
        <f>AVERAGE(E16:E18)</f>
        <v>11917.249333333335</v>
      </c>
    </row>
    <row r="28" spans="2:5" x14ac:dyDescent="0.25">
      <c r="B28" s="50"/>
      <c r="C28" s="51"/>
      <c r="D28" s="45"/>
      <c r="E28" s="45"/>
    </row>
    <row r="29" spans="2:5" x14ac:dyDescent="0.25">
      <c r="B29" s="50"/>
      <c r="C29" s="51"/>
      <c r="D29" s="45"/>
      <c r="E29" s="45"/>
    </row>
    <row r="33" spans="2:5" x14ac:dyDescent="0.25">
      <c r="B33" s="50"/>
      <c r="C33" s="51"/>
      <c r="D33" s="45"/>
      <c r="E33" s="45"/>
    </row>
    <row r="34" spans="2:5" x14ac:dyDescent="0.25">
      <c r="B34" s="50"/>
      <c r="C34" s="51"/>
      <c r="D34" s="45"/>
      <c r="E34" s="45"/>
    </row>
    <row r="35" spans="2:5" x14ac:dyDescent="0.25">
      <c r="B35" s="50"/>
      <c r="C35" s="51"/>
      <c r="D35" s="45"/>
      <c r="E35" s="45"/>
    </row>
    <row r="36" spans="2:5" x14ac:dyDescent="0.25">
      <c r="B36" s="50"/>
      <c r="C36" s="51"/>
      <c r="D36" s="45"/>
      <c r="E36" s="45"/>
    </row>
    <row r="37" spans="2:5" x14ac:dyDescent="0.25">
      <c r="B37" s="50"/>
      <c r="C37" s="51"/>
      <c r="D37" s="45"/>
      <c r="E37" s="45"/>
    </row>
    <row r="38" spans="2:5" ht="15.75" x14ac:dyDescent="0.25">
      <c r="B38" s="160"/>
      <c r="C38" s="160"/>
      <c r="D38" s="52"/>
      <c r="E38" s="52"/>
    </row>
    <row r="39" spans="2:5" x14ac:dyDescent="0.25">
      <c r="C39" s="20"/>
      <c r="D39" s="21"/>
      <c r="E39" s="21"/>
    </row>
    <row r="40" spans="2:5" x14ac:dyDescent="0.25">
      <c r="C40" s="20"/>
      <c r="D40" s="21"/>
      <c r="E40" s="21"/>
    </row>
    <row r="74" spans="7:28" ht="15.75" thickBot="1" x14ac:dyDescent="0.3"/>
    <row r="75" spans="7:28" x14ac:dyDescent="0.25">
      <c r="G75" s="54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</row>
    <row r="76" spans="7:28" x14ac:dyDescent="0.25">
      <c r="G76" s="5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6"/>
    </row>
    <row r="77" spans="7:28" x14ac:dyDescent="0.25">
      <c r="G77" s="5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6"/>
    </row>
    <row r="78" spans="7:28" x14ac:dyDescent="0.25">
      <c r="G78" s="5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6"/>
    </row>
    <row r="79" spans="7:28" x14ac:dyDescent="0.25">
      <c r="G79" s="5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6"/>
    </row>
    <row r="80" spans="7:28" x14ac:dyDescent="0.25">
      <c r="G80" s="5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6"/>
    </row>
    <row r="81" spans="7:28" x14ac:dyDescent="0.25">
      <c r="G81" s="5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6"/>
    </row>
    <row r="82" spans="7:28" x14ac:dyDescent="0.25">
      <c r="G82" s="5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6"/>
    </row>
    <row r="83" spans="7:28" x14ac:dyDescent="0.25">
      <c r="G83" s="5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6"/>
    </row>
    <row r="84" spans="7:28" x14ac:dyDescent="0.25">
      <c r="G84" s="5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6"/>
    </row>
    <row r="85" spans="7:28" x14ac:dyDescent="0.25">
      <c r="G85" s="5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6"/>
    </row>
    <row r="86" spans="7:28" x14ac:dyDescent="0.25">
      <c r="G86" s="5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6"/>
    </row>
    <row r="87" spans="7:28" x14ac:dyDescent="0.25">
      <c r="G87" s="5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6"/>
    </row>
    <row r="88" spans="7:28" x14ac:dyDescent="0.25">
      <c r="G88" s="5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6"/>
    </row>
    <row r="89" spans="7:28" x14ac:dyDescent="0.25">
      <c r="G89" s="5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6"/>
    </row>
    <row r="90" spans="7:28" x14ac:dyDescent="0.25">
      <c r="G90" s="5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6"/>
    </row>
    <row r="91" spans="7:28" x14ac:dyDescent="0.25">
      <c r="G91" s="5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6"/>
    </row>
    <row r="92" spans="7:28" x14ac:dyDescent="0.25">
      <c r="G92" s="5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6"/>
    </row>
    <row r="93" spans="7:28" x14ac:dyDescent="0.25">
      <c r="G93" s="5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6"/>
    </row>
    <row r="94" spans="7:28" x14ac:dyDescent="0.25">
      <c r="G94" s="5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6"/>
    </row>
    <row r="95" spans="7:28" x14ac:dyDescent="0.25">
      <c r="G95" s="5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6"/>
    </row>
    <row r="96" spans="7:28" x14ac:dyDescent="0.25">
      <c r="G96" s="5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6"/>
    </row>
    <row r="97" spans="7:28" x14ac:dyDescent="0.25">
      <c r="G97" s="5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6"/>
    </row>
    <row r="98" spans="7:28" x14ac:dyDescent="0.25">
      <c r="G98" s="5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6"/>
    </row>
    <row r="99" spans="7:28" x14ac:dyDescent="0.25">
      <c r="G99" s="5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6"/>
    </row>
    <row r="100" spans="7:28" x14ac:dyDescent="0.25">
      <c r="G100" s="5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6"/>
    </row>
    <row r="101" spans="7:28" x14ac:dyDescent="0.25">
      <c r="G101" s="5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6"/>
    </row>
    <row r="102" spans="7:28" x14ac:dyDescent="0.25">
      <c r="G102" s="5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6"/>
    </row>
    <row r="103" spans="7:28" x14ac:dyDescent="0.25">
      <c r="G103" s="5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6"/>
    </row>
    <row r="104" spans="7:28" x14ac:dyDescent="0.25">
      <c r="G104" s="5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6"/>
    </row>
    <row r="105" spans="7:28" x14ac:dyDescent="0.25">
      <c r="G105" s="5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6"/>
    </row>
    <row r="106" spans="7:28" x14ac:dyDescent="0.25">
      <c r="G106" s="5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6"/>
    </row>
    <row r="107" spans="7:28" x14ac:dyDescent="0.25">
      <c r="G107" s="5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6"/>
    </row>
    <row r="108" spans="7:28" x14ac:dyDescent="0.25">
      <c r="G108" s="5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6"/>
    </row>
    <row r="109" spans="7:28" x14ac:dyDescent="0.25">
      <c r="G109" s="5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6"/>
    </row>
    <row r="110" spans="7:28" ht="15.75" thickBot="1" x14ac:dyDescent="0.3">
      <c r="G110" s="56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1"/>
    </row>
  </sheetData>
  <mergeCells count="18">
    <mergeCell ref="B38:C38"/>
    <mergeCell ref="B23:C23"/>
    <mergeCell ref="B25:C25"/>
    <mergeCell ref="B26:C26"/>
    <mergeCell ref="B27:C27"/>
    <mergeCell ref="B24:C24"/>
    <mergeCell ref="D21:D22"/>
    <mergeCell ref="E21:E22"/>
    <mergeCell ref="B21:C22"/>
    <mergeCell ref="B16:B18"/>
    <mergeCell ref="B19:C19"/>
    <mergeCell ref="B6:B10"/>
    <mergeCell ref="B11:B15"/>
    <mergeCell ref="E2:E3"/>
    <mergeCell ref="B2:B3"/>
    <mergeCell ref="C2:C3"/>
    <mergeCell ref="D2:D3"/>
    <mergeCell ref="B4:B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64"/>
  <sheetViews>
    <sheetView showGridLines="0" workbookViewId="0">
      <selection activeCell="E38" sqref="E38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4" width="10.7109375" style="1" customWidth="1"/>
    <col min="5" max="5" width="10.7109375" style="76" customWidth="1"/>
    <col min="6" max="6" width="2.42578125" customWidth="1"/>
  </cols>
  <sheetData>
    <row r="1" spans="1:29" ht="15.75" thickBot="1" x14ac:dyDescent="0.3"/>
    <row r="2" spans="1:29" ht="15" customHeight="1" x14ac:dyDescent="0.25">
      <c r="B2" s="138" t="s">
        <v>36</v>
      </c>
      <c r="C2" s="138" t="s">
        <v>8</v>
      </c>
      <c r="D2" s="140" t="s">
        <v>21</v>
      </c>
      <c r="E2" s="169" t="s">
        <v>21</v>
      </c>
      <c r="G2" s="54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3"/>
    </row>
    <row r="3" spans="1:29" ht="15.75" customHeight="1" thickBot="1" x14ac:dyDescent="0.3">
      <c r="B3" s="168"/>
      <c r="C3" s="139"/>
      <c r="D3" s="141"/>
      <c r="E3" s="170"/>
      <c r="G3" s="5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 x14ac:dyDescent="0.25">
      <c r="A4" s="23"/>
      <c r="B4" s="142" t="s">
        <v>35</v>
      </c>
      <c r="C4" s="12" t="s">
        <v>75</v>
      </c>
      <c r="D4" s="24" t="str">
        <f>IF(E4,SUM(SUMIF('Raw Data'!$E$5:$E$499,$C4, 'Raw Data'!$K$5:$K$499))/SUM(COUNTIF('Raw Data'!$E$5:$E$499,$C4)),"NA")</f>
        <v>NA</v>
      </c>
      <c r="E4" s="104">
        <f>SUM(COUNTIF('Raw Data'!$E$5:$E$499,$C4))</f>
        <v>0</v>
      </c>
      <c r="G4" s="5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</row>
    <row r="5" spans="1:29" x14ac:dyDescent="0.25">
      <c r="A5" s="23"/>
      <c r="B5" s="171"/>
      <c r="C5" s="75" t="s">
        <v>63</v>
      </c>
      <c r="D5" s="26" t="str">
        <f>IF(E5,SUM(SUMIF('Raw Data'!$E$5:$E$499,$C5, 'Raw Data'!$K$5:$K$499))/SUM(COUNTIF('Raw Data'!$E$5:$E$499,$C5)),"NA")</f>
        <v>NA</v>
      </c>
      <c r="E5" s="44">
        <f>SUM(COUNTIF('Raw Data'!$E$5:$E$499,$C5))</f>
        <v>0</v>
      </c>
      <c r="G5" s="5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</row>
    <row r="6" spans="1:29" x14ac:dyDescent="0.25">
      <c r="A6" s="23"/>
      <c r="B6" s="171"/>
      <c r="C6" s="75" t="s">
        <v>56</v>
      </c>
      <c r="D6" s="26" t="str">
        <f>IF(E6,SUM(SUMIF('Raw Data'!$E$5:$E$499,$C6, 'Raw Data'!$K$5:$K$499))/SUM(COUNTIF('Raw Data'!$E$5:$E$499,$C6)),"NA")</f>
        <v>NA</v>
      </c>
      <c r="E6" s="44">
        <f>SUM(COUNTIF('Raw Data'!$E$5:$E$499,$C6))</f>
        <v>0</v>
      </c>
      <c r="G6" s="5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</row>
    <row r="7" spans="1:29" x14ac:dyDescent="0.25">
      <c r="A7" s="23"/>
      <c r="B7" s="171"/>
      <c r="C7" s="67" t="s">
        <v>72</v>
      </c>
      <c r="D7" s="25" t="str">
        <f>IF(E7,SUM(SUMIF('Raw Data'!$E$5:$E$499,$C7, 'Raw Data'!$K$5:$K$499))/SUM(COUNTIF('Raw Data'!$E$5:$E$499,$C7)),"NA")</f>
        <v>NA</v>
      </c>
      <c r="E7" s="28">
        <f>SUM(COUNTIF('Raw Data'!$E$5:$E$499,$C7))</f>
        <v>0</v>
      </c>
      <c r="G7" s="5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6"/>
    </row>
    <row r="8" spans="1:29" x14ac:dyDescent="0.25">
      <c r="B8" s="171"/>
      <c r="C8" s="75" t="s">
        <v>81</v>
      </c>
      <c r="D8" s="26" t="str">
        <f>IF(E8,SUM(SUMIF('Raw Data'!$E$5:$E$499,$C8, 'Raw Data'!$K$5:$K$499))/SUM(COUNTIF('Raw Data'!$E$5:$E$499,$C8)),"NA")</f>
        <v>NA</v>
      </c>
      <c r="E8" s="44">
        <f>SUM(COUNTIF('Raw Data'!$E$5:$E$499,$C8))</f>
        <v>0</v>
      </c>
      <c r="G8" s="5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6"/>
    </row>
    <row r="9" spans="1:29" x14ac:dyDescent="0.25">
      <c r="B9" s="171"/>
      <c r="C9" s="120" t="s">
        <v>68</v>
      </c>
      <c r="D9" s="25" t="str">
        <f>IF(E9,SUM(SUMIF('Raw Data'!$E$5:$E$499,$C9, 'Raw Data'!$K$5:$K$499))/SUM(COUNTIF('Raw Data'!$E$5:$E$499,$C9)),"NA")</f>
        <v>NA</v>
      </c>
      <c r="E9" s="28">
        <f>SUM(COUNTIF('Raw Data'!$E$5:$E$499,$C9))</f>
        <v>0</v>
      </c>
      <c r="G9" s="5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</row>
    <row r="10" spans="1:29" ht="15.75" thickBot="1" x14ac:dyDescent="0.3">
      <c r="B10" s="143"/>
      <c r="C10" s="122" t="s">
        <v>78</v>
      </c>
      <c r="D10" s="118" t="str">
        <f>IF(E10,SUM(SUMIF('Raw Data'!$E$5:$E$499,$C10, 'Raw Data'!$K$5:$K$499))/SUM(COUNTIF('Raw Data'!$E$5:$E$499,$C10)),"NA")</f>
        <v>NA</v>
      </c>
      <c r="E10" s="119">
        <f>SUM(COUNTIF('Raw Data'!$E$5:$E$499,$C10))</f>
        <v>0</v>
      </c>
      <c r="G10" s="5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</row>
    <row r="11" spans="1:29" ht="15.75" thickBot="1" x14ac:dyDescent="0.3">
      <c r="A11" s="23"/>
      <c r="B11" s="123" t="s">
        <v>39</v>
      </c>
      <c r="C11" s="124" t="s">
        <v>60</v>
      </c>
      <c r="D11" s="105">
        <f>IF(E11,SUM(SUMIF('Raw Data'!$E$5:$E$499,$C11, 'Raw Data'!$K$5:$K$499))/SUM(COUNTIF('Raw Data'!$E$5:$E$499,$C11)),"NA")</f>
        <v>0.54495665536167504</v>
      </c>
      <c r="E11" s="106">
        <f>SUM(COUNTIF('Raw Data'!$E$5:$E$499,$C11))</f>
        <v>37</v>
      </c>
      <c r="G11" s="5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</row>
    <row r="12" spans="1:29" ht="15.75" thickBot="1" x14ac:dyDescent="0.3">
      <c r="A12" s="23"/>
      <c r="B12" s="107" t="s">
        <v>33</v>
      </c>
      <c r="C12" s="124" t="s">
        <v>80</v>
      </c>
      <c r="D12" s="105" t="str">
        <f>IF(E12,SUM(SUMIF('Raw Data'!$E$5:$E$499,$C12, 'Raw Data'!$K$5:$K$499))/SUM(COUNTIF('Raw Data'!$E$5:$E$499,$C12)),"NA")</f>
        <v>NA</v>
      </c>
      <c r="E12" s="106">
        <f>SUM(COUNTIF('Raw Data'!$E$5:$E$499,$C12))</f>
        <v>0</v>
      </c>
      <c r="G12" s="5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</row>
    <row r="13" spans="1:29" ht="15.75" customHeight="1" x14ac:dyDescent="0.25">
      <c r="B13" s="64"/>
      <c r="C13" s="67"/>
      <c r="D13" s="25" t="str">
        <f>IF(E13,SUM(SUMIF('Raw Data'!$E$5:$E$499,$C13, 'Raw Data'!$K$5:$K$499))/SUM(COUNTIF('Raw Data'!$E$5:$E$499,$C13)),"NA")</f>
        <v>NA</v>
      </c>
      <c r="E13" s="28">
        <f>SUM(COUNTIF('Raw Data'!$E$5:$E$499,$C13))</f>
        <v>0</v>
      </c>
      <c r="G13" s="5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</row>
    <row r="14" spans="1:29" ht="15.75" customHeight="1" x14ac:dyDescent="0.25">
      <c r="B14" s="64"/>
      <c r="C14" s="66"/>
      <c r="D14" s="26" t="str">
        <f>IF(E14,SUM(SUMIF('Raw Data'!$E$5:$E$499,$C14, 'Raw Data'!$K$5:$K$499))/SUM(COUNTIF('Raw Data'!$E$5:$E$499,$C14)),"NA")</f>
        <v>NA</v>
      </c>
      <c r="E14" s="44">
        <f>SUM(COUNTIF('Raw Data'!$E$5:$E$499,$C14))</f>
        <v>0</v>
      </c>
      <c r="G14" s="5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</row>
    <row r="15" spans="1:29" x14ac:dyDescent="0.25">
      <c r="B15" s="64"/>
      <c r="C15" s="66"/>
      <c r="D15" s="26" t="str">
        <f>IF(E15,SUM(SUMIF('Raw Data'!$E$5:$E$499,$C15, 'Raw Data'!$K$5:$K$499))/SUM(COUNTIF('Raw Data'!$E$5:$E$499,$C15)),"NA")</f>
        <v>NA</v>
      </c>
      <c r="E15" s="44">
        <f>SUM(COUNTIF('Raw Data'!$E$5:$E$499,$C15))</f>
        <v>0</v>
      </c>
      <c r="G15" s="5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</row>
    <row r="16" spans="1:29" x14ac:dyDescent="0.25">
      <c r="B16" s="64"/>
      <c r="C16" s="66"/>
      <c r="D16" s="26" t="str">
        <f>IF(E16,SUM(SUMIF('Raw Data'!$E$5:$E$499,$C16, 'Raw Data'!$K$5:$K$499))/SUM(COUNTIF('Raw Data'!$E$5:$E$499,$C16)),"NA")</f>
        <v>NA</v>
      </c>
      <c r="E16" s="44">
        <f>SUM(COUNTIF('Raw Data'!$E$5:$E$499,$C16))</f>
        <v>0</v>
      </c>
      <c r="G16" s="5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</row>
    <row r="17" spans="1:29" x14ac:dyDescent="0.25">
      <c r="B17" s="64"/>
      <c r="C17" s="75"/>
      <c r="D17" s="26" t="str">
        <f>IF(E17,SUM(SUMIF('Raw Data'!$E$5:$E$499,$C17, 'Raw Data'!$K$5:$K$499))/SUM(COUNTIF('Raw Data'!$E$5:$E$499,$C17)),"NA")</f>
        <v>NA</v>
      </c>
      <c r="E17" s="44">
        <f>SUM(COUNTIF('Raw Data'!$E$5:$E$499,$C17))</f>
        <v>0</v>
      </c>
      <c r="G17" s="5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</row>
    <row r="18" spans="1:29" x14ac:dyDescent="0.25">
      <c r="A18" s="23"/>
      <c r="B18" s="74"/>
      <c r="C18" s="75"/>
      <c r="D18" s="26" t="str">
        <f>IF(E18,SUM(SUMIF('Raw Data'!$E$5:$E$499,$C18, 'Raw Data'!$K$5:$K$499))/SUM(COUNTIF('Raw Data'!$E$5:$E$499,$C18)),"NA")</f>
        <v>NA</v>
      </c>
      <c r="E18" s="44">
        <f>SUM(COUNTIF('Raw Data'!$E$5:$E$499,$C18))</f>
        <v>0</v>
      </c>
      <c r="G18" s="5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</row>
    <row r="19" spans="1:29" x14ac:dyDescent="0.25">
      <c r="A19" s="23"/>
      <c r="B19" s="64"/>
      <c r="C19" s="67"/>
      <c r="D19" s="26" t="str">
        <f>IF(E19,SUM(SUMIF('Raw Data'!$E$5:$E$499,$C19, 'Raw Data'!$K$5:$K$499))/SUM(COUNTIF('Raw Data'!$E$5:$E$499,$C19)),"NA")</f>
        <v>NA</v>
      </c>
      <c r="E19" s="44">
        <f>SUM(COUNTIF('Raw Data'!$E$5:$E$499,$C19))</f>
        <v>0</v>
      </c>
      <c r="G19" s="5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</row>
    <row r="20" spans="1:29" x14ac:dyDescent="0.25">
      <c r="A20" s="23"/>
      <c r="B20" s="64"/>
      <c r="C20" s="66"/>
      <c r="D20" s="26" t="str">
        <f>IF(E20,SUM(SUMIF('Raw Data'!$E$5:$E$499,$C20, 'Raw Data'!$K$5:$K$499))/SUM(COUNTIF('Raw Data'!$E$5:$E$499,$C20)),"NA")</f>
        <v>NA</v>
      </c>
      <c r="E20" s="44">
        <f>SUM(COUNTIF('Raw Data'!$E$5:$E$499,$C20))</f>
        <v>0</v>
      </c>
      <c r="G20" s="55"/>
      <c r="H20" s="35"/>
      <c r="I20" s="35"/>
      <c r="J20" s="35"/>
      <c r="K20" s="35"/>
      <c r="L20" s="62">
        <f>SUM('Installer Analysis'!D4)</f>
        <v>0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</row>
    <row r="21" spans="1:29" x14ac:dyDescent="0.25">
      <c r="B21" s="64"/>
      <c r="C21" s="66"/>
      <c r="D21" s="26" t="str">
        <f>IF(E21,SUM(SUMIF('Raw Data'!$E$5:$E$499,$C21, 'Raw Data'!$K$5:$K$499))/SUM(COUNTIF('Raw Data'!$E$5:$E$499,$C21)),"NA")</f>
        <v>NA</v>
      </c>
      <c r="E21" s="44">
        <f>SUM(COUNTIF('Raw Data'!$E$5:$E$499,$C21))</f>
        <v>0</v>
      </c>
      <c r="G21" s="5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</row>
    <row r="22" spans="1:29" ht="15.75" thickBot="1" x14ac:dyDescent="0.3">
      <c r="B22" s="65"/>
      <c r="C22" s="73"/>
      <c r="D22" s="68" t="str">
        <f>IF(E22,SUM(SUMIF('Raw Data'!$E$5:$E$499,$C22, 'Raw Data'!$K$5:$K$499))/SUM(COUNTIF('Raw Data'!$E$5:$E$499,$C22)),"NA")</f>
        <v>NA</v>
      </c>
      <c r="E22" s="78">
        <f>SUM(COUNTIF('Raw Data'!$E$5:$E$499,$C22))</f>
        <v>0</v>
      </c>
      <c r="G22" s="5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</row>
    <row r="23" spans="1:29" ht="15.75" thickBot="1" x14ac:dyDescent="0.3">
      <c r="B23" s="166" t="s">
        <v>55</v>
      </c>
      <c r="C23" s="167"/>
      <c r="D23" s="71">
        <f>'Raw Data'!K3</f>
        <v>0.56519508295759135</v>
      </c>
      <c r="E23" s="79">
        <f>SUM(E4:E22)</f>
        <v>37</v>
      </c>
      <c r="G23" s="5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</row>
    <row r="24" spans="1:29" x14ac:dyDescent="0.25">
      <c r="B24" s="27"/>
      <c r="C24" s="20"/>
      <c r="D24" s="63"/>
      <c r="E24" s="77"/>
      <c r="G24" s="5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</row>
    <row r="25" spans="1:29" ht="15.75" thickBot="1" x14ac:dyDescent="0.3">
      <c r="B25" s="27"/>
      <c r="C25" s="20"/>
      <c r="D25" s="63"/>
      <c r="E25" s="77"/>
      <c r="G25" s="5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</row>
    <row r="26" spans="1:29" ht="15.75" thickBot="1" x14ac:dyDescent="0.3">
      <c r="B26" s="47" t="s">
        <v>35</v>
      </c>
      <c r="C26" s="20"/>
      <c r="D26" s="63"/>
      <c r="E26" s="77"/>
      <c r="G26" s="5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</row>
    <row r="27" spans="1:29" ht="15.75" thickBot="1" x14ac:dyDescent="0.3">
      <c r="B27" s="48" t="s">
        <v>39</v>
      </c>
      <c r="C27" s="20"/>
      <c r="D27" s="21"/>
      <c r="E27" s="77"/>
      <c r="G27" s="5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</row>
    <row r="28" spans="1:29" ht="15.75" thickBot="1" x14ac:dyDescent="0.3">
      <c r="B28" s="69" t="s">
        <v>54</v>
      </c>
      <c r="C28" s="20"/>
      <c r="D28" s="21"/>
      <c r="E28" s="77"/>
      <c r="G28" s="5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</row>
    <row r="29" spans="1:29" ht="15.75" thickBot="1" x14ac:dyDescent="0.3">
      <c r="B29" s="107" t="s">
        <v>33</v>
      </c>
      <c r="C29" s="20"/>
      <c r="D29" s="21"/>
      <c r="E29" s="77"/>
      <c r="G29" s="5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</row>
    <row r="30" spans="1:29" x14ac:dyDescent="0.25">
      <c r="B30" s="50"/>
      <c r="C30" s="20"/>
      <c r="D30" s="21"/>
      <c r="E30" s="77"/>
      <c r="G30" s="5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</row>
    <row r="31" spans="1:29" x14ac:dyDescent="0.25">
      <c r="B31" s="50"/>
      <c r="C31" s="20"/>
      <c r="D31" s="63"/>
      <c r="E31" s="77"/>
      <c r="G31" s="5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</row>
    <row r="32" spans="1:29" ht="15.75" thickBot="1" x14ac:dyDescent="0.3">
      <c r="B32" s="50"/>
      <c r="C32" s="20"/>
      <c r="D32" s="21"/>
      <c r="E32" s="77"/>
      <c r="G32" s="56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1"/>
    </row>
    <row r="33" spans="2:29" ht="15.75" thickBot="1" x14ac:dyDescent="0.3">
      <c r="B33" s="70"/>
      <c r="C33" s="20"/>
      <c r="D33" s="21"/>
      <c r="E33" s="77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 spans="2:29" x14ac:dyDescent="0.25">
      <c r="C34" s="20"/>
      <c r="D34" s="21"/>
      <c r="E34" s="77"/>
      <c r="G34" s="54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3"/>
    </row>
    <row r="35" spans="2:29" x14ac:dyDescent="0.25">
      <c r="G35" s="5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</row>
    <row r="36" spans="2:29" x14ac:dyDescent="0.25">
      <c r="G36" s="5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</row>
    <row r="37" spans="2:29" x14ac:dyDescent="0.25">
      <c r="G37" s="5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</row>
    <row r="38" spans="2:29" x14ac:dyDescent="0.25">
      <c r="G38" s="5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</row>
    <row r="39" spans="2:29" x14ac:dyDescent="0.25">
      <c r="G39" s="5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</row>
    <row r="40" spans="2:29" x14ac:dyDescent="0.25">
      <c r="G40" s="5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</row>
    <row r="41" spans="2:29" x14ac:dyDescent="0.25">
      <c r="G41" s="5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  <row r="42" spans="2:29" x14ac:dyDescent="0.25">
      <c r="G42" s="5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</row>
    <row r="43" spans="2:29" x14ac:dyDescent="0.25">
      <c r="G43" s="5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</row>
    <row r="44" spans="2:29" x14ac:dyDescent="0.25">
      <c r="G44" s="5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</row>
    <row r="45" spans="2:29" x14ac:dyDescent="0.25">
      <c r="G45" s="5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</row>
    <row r="46" spans="2:29" x14ac:dyDescent="0.25">
      <c r="G46" s="5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</row>
    <row r="47" spans="2:29" x14ac:dyDescent="0.25">
      <c r="G47" s="5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</row>
    <row r="48" spans="2:29" x14ac:dyDescent="0.25">
      <c r="G48" s="5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</row>
    <row r="49" spans="7:29" x14ac:dyDescent="0.25">
      <c r="G49" s="5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</row>
    <row r="50" spans="7:29" x14ac:dyDescent="0.25">
      <c r="G50" s="5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</row>
    <row r="51" spans="7:29" x14ac:dyDescent="0.25">
      <c r="G51" s="5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</row>
    <row r="52" spans="7:29" x14ac:dyDescent="0.25">
      <c r="G52" s="5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</row>
    <row r="53" spans="7:29" x14ac:dyDescent="0.25">
      <c r="G53" s="5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</row>
    <row r="54" spans="7:29" x14ac:dyDescent="0.25">
      <c r="G54" s="5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</row>
    <row r="55" spans="7:29" x14ac:dyDescent="0.25">
      <c r="G55" s="5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</row>
    <row r="56" spans="7:29" x14ac:dyDescent="0.25">
      <c r="G56" s="5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</row>
    <row r="57" spans="7:29" x14ac:dyDescent="0.25">
      <c r="G57" s="5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</row>
    <row r="58" spans="7:29" x14ac:dyDescent="0.25">
      <c r="G58" s="5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</row>
    <row r="59" spans="7:29" x14ac:dyDescent="0.25">
      <c r="G59" s="5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</row>
    <row r="60" spans="7:29" x14ac:dyDescent="0.25">
      <c r="G60" s="5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</row>
    <row r="61" spans="7:29" x14ac:dyDescent="0.25">
      <c r="G61" s="5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</row>
    <row r="62" spans="7:29" x14ac:dyDescent="0.25">
      <c r="G62" s="5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</row>
    <row r="63" spans="7:29" x14ac:dyDescent="0.25">
      <c r="G63" s="5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</row>
    <row r="64" spans="7:29" ht="15.75" thickBot="1" x14ac:dyDescent="0.3">
      <c r="G64" s="56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1"/>
    </row>
  </sheetData>
  <sortState ref="A4:AB22">
    <sortCondition ref="B4:B22"/>
    <sortCondition ref="C4:C22"/>
  </sortState>
  <mergeCells count="6">
    <mergeCell ref="B23:C23"/>
    <mergeCell ref="B2:B3"/>
    <mergeCell ref="C2:C3"/>
    <mergeCell ref="D2:D3"/>
    <mergeCell ref="E2:E3"/>
    <mergeCell ref="B4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270"/>
  <sheetViews>
    <sheetView showGridLines="0" workbookViewId="0">
      <selection activeCell="P7" sqref="P7"/>
    </sheetView>
  </sheetViews>
  <sheetFormatPr defaultRowHeight="15" x14ac:dyDescent="0.25"/>
  <cols>
    <col min="1" max="1" width="2.42578125" customWidth="1"/>
    <col min="2" max="2" width="14.7109375" style="3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23" ht="15.75" thickBot="1" x14ac:dyDescent="0.3">
      <c r="I1" s="29"/>
    </row>
    <row r="2" spans="1:23" ht="15" customHeight="1" x14ac:dyDescent="0.25">
      <c r="B2" s="138" t="s">
        <v>20</v>
      </c>
      <c r="C2" s="140" t="s">
        <v>40</v>
      </c>
      <c r="D2" s="140" t="s">
        <v>47</v>
      </c>
      <c r="E2" s="140" t="s">
        <v>41</v>
      </c>
      <c r="F2" s="140" t="s">
        <v>42</v>
      </c>
      <c r="G2" s="140" t="s">
        <v>43</v>
      </c>
      <c r="H2" s="140" t="s">
        <v>44</v>
      </c>
      <c r="I2" s="140" t="s">
        <v>46</v>
      </c>
      <c r="J2" s="140" t="s">
        <v>45</v>
      </c>
    </row>
    <row r="3" spans="1:23" ht="15.75" customHeight="1" thickBot="1" x14ac:dyDescent="0.3">
      <c r="B3" s="139"/>
      <c r="C3" s="141"/>
      <c r="D3" s="141"/>
      <c r="E3" s="141"/>
      <c r="F3" s="141"/>
      <c r="G3" s="141"/>
      <c r="H3" s="141"/>
      <c r="I3" s="141"/>
      <c r="J3" s="141"/>
    </row>
    <row r="4" spans="1:23" x14ac:dyDescent="0.25">
      <c r="A4" s="23"/>
      <c r="B4" s="7" t="s">
        <v>74</v>
      </c>
      <c r="C4" s="18">
        <f>SUM(SUMIF('Raw Data'!$D$5:$D$499,$B4, 'Raw Data'!$I$5:$KM$499))</f>
        <v>0</v>
      </c>
      <c r="D4" s="28">
        <f>SUM(COUNTIF('Raw Data'!$D$5:$D$499,$B4))</f>
        <v>0</v>
      </c>
      <c r="E4" s="18" t="str">
        <f>IF($D4,(SUM(SUMIF('Raw Data'!$D$5:$D$499,$B4, 'Raw Data'!$I$5:$I$499))/SUM(COUNTIF('Raw Data'!$D$5:$D$499,$B4))),"NA")</f>
        <v>NA</v>
      </c>
      <c r="F4" s="25" t="str">
        <f>IF(D4,SUM(SUMIF('Raw Data'!$D$5:$D$499,$B4, 'Raw Data'!$K$5:$K$499))/SUM(COUNTIF('Raw Data'!$D$5:$D$499,$B4)),"NA")</f>
        <v>NA</v>
      </c>
      <c r="G4" s="25" t="str">
        <f>IF(D4,SUM(SUMIF('Raw Data'!$D$5:$D$499,$B4, 'Raw Data'!$M$5:$M$499))/SUM(COUNTIF('Raw Data'!$D$5:$D$499,$B4)),"NA")</f>
        <v>NA</v>
      </c>
      <c r="H4" s="18" t="str">
        <f>IF(D4,SUM(SUMIF('Raw Data'!$D$5:$D$499,$B4,'Raw Data'!$N$5:$N$499))/SUM(COUNTIF('Raw Data'!$D$5:$D$499,$B4)),"NA")</f>
        <v>NA</v>
      </c>
      <c r="I4" s="18" t="str">
        <f>IF(D4,SUM(SUMIF('Raw Data'!$D$5:$D$499,$B4, 'Raw Data'!$O$5:$O$499)),"NA")</f>
        <v>NA</v>
      </c>
      <c r="J4" s="18" t="str">
        <f>IF(D4,SUM(SUMIF('Raw Data'!$D$5:$D$499,$B4, 'Raw Data'!$O$5:$O$499))/SUM(COUNTIF('Raw Data'!$D$5:$D$499,$B4)),"NA")</f>
        <v>NA</v>
      </c>
    </row>
    <row r="5" spans="1:23" x14ac:dyDescent="0.25">
      <c r="A5" s="23"/>
      <c r="B5" s="6" t="s">
        <v>67</v>
      </c>
      <c r="C5" s="18">
        <f>SUM(SUMIF('Raw Data'!$D$5:$D$499,$B5, 'Raw Data'!$I$5:$KM$499))</f>
        <v>236693.05000000002</v>
      </c>
      <c r="D5" s="28">
        <f>SUM(COUNTIF('Raw Data'!$D$5:$D$499,$B5))</f>
        <v>19</v>
      </c>
      <c r="E5" s="18">
        <f>IF($D5,(SUM(SUMIF('Raw Data'!$D$5:$D$499,$B5, 'Raw Data'!$I$5:$I$499))/SUM(COUNTIF('Raw Data'!$D$5:$D$499,$B5))),"NA")</f>
        <v>12457.528947368422</v>
      </c>
      <c r="F5" s="25">
        <f>IF(D5,SUM(SUMIF('Raw Data'!$D$5:$D$499,$B5, 'Raw Data'!$K$5:$K$499))/SUM(COUNTIF('Raw Data'!$D$5:$D$499,$B5)),"NA")</f>
        <v>0.57053682391180371</v>
      </c>
      <c r="G5" s="25">
        <f>IF(D5,SUM(SUMIF('Raw Data'!$D$5:$D$499,$B5, 'Raw Data'!$M$5:$M$499))/SUM(COUNTIF('Raw Data'!$D$5:$D$499,$B5)),"NA")</f>
        <v>0.12516460236954002</v>
      </c>
      <c r="H5" s="18">
        <f>IF(D5,SUM(SUMIF('Raw Data'!$D$5:$D$499,$B5,'Raw Data'!$N$5:$N$499))/SUM(COUNTIF('Raw Data'!$D$5:$D$499,$B5)),"NA")</f>
        <v>863.21263157894737</v>
      </c>
      <c r="I5" s="18">
        <f>IF(D5,SUM(SUMIF('Raw Data'!$D$5:$D$499,$B5, 'Raw Data'!$O$5:$O$499)),"NA")</f>
        <v>0</v>
      </c>
      <c r="J5" s="18">
        <f>IF(D5,SUM(SUMIF('Raw Data'!$D$5:$D$499,$B5, 'Raw Data'!$O$5:$O$499))/SUM(COUNTIF('Raw Data'!$D$5:$D$499,$B5)),"NA")</f>
        <v>0</v>
      </c>
    </row>
    <row r="6" spans="1:23" x14ac:dyDescent="0.25">
      <c r="A6" s="23"/>
      <c r="B6" s="7" t="s">
        <v>58</v>
      </c>
      <c r="C6" s="18">
        <f>SUM(SUMIF('Raw Data'!$D$5:$D$499,$B6, 'Raw Data'!$I$5:$KM$499))</f>
        <v>0</v>
      </c>
      <c r="D6" s="28">
        <f>SUM(COUNTIF('Raw Data'!$D$5:$D$499,$B6))</f>
        <v>0</v>
      </c>
      <c r="E6" s="18" t="str">
        <f>IF($D6,(SUM(SUMIF('Raw Data'!$D$5:$D$499,$B6, 'Raw Data'!$I$5:$I$499))/SUM(COUNTIF('Raw Data'!$D$5:$D$499,$B6))),"NA")</f>
        <v>NA</v>
      </c>
      <c r="F6" s="25" t="str">
        <f>IF(D6,SUM(SUMIF('Raw Data'!$D$5:$D$499,$B6, 'Raw Data'!$K$5:$K$499))/SUM(COUNTIF('Raw Data'!$D$5:$D$499,$B6)),"NA")</f>
        <v>NA</v>
      </c>
      <c r="G6" s="25" t="str">
        <f>IF(D6,SUM(SUMIF('Raw Data'!$D$5:$D$499,$B6, 'Raw Data'!$M$5:$M$499))/SUM(COUNTIF('Raw Data'!$D$5:$D$499,$B6)),"NA")</f>
        <v>NA</v>
      </c>
      <c r="H6" s="18" t="str">
        <f>IF(D6,SUM(SUMIF('Raw Data'!$D$5:$D$499,$B6,'Raw Data'!$N$5:$N$499))/SUM(COUNTIF('Raw Data'!$D$5:$D$499,$B6)),"NA")</f>
        <v>NA</v>
      </c>
      <c r="I6" s="18" t="str">
        <f>IF(D6,SUM(SUMIF('Raw Data'!$D$5:$D$499,$B6, 'Raw Data'!$O$5:$O$499)),"NA")</f>
        <v>NA</v>
      </c>
      <c r="J6" s="18" t="str">
        <f>IF(D6,SUM(SUMIF('Raw Data'!$D$5:$D$499,$B6, 'Raw Data'!$O$5:$O$499))/SUM(COUNTIF('Raw Data'!$D$5:$D$499,$B6)),"NA")</f>
        <v>NA</v>
      </c>
    </row>
    <row r="7" spans="1:23" x14ac:dyDescent="0.25">
      <c r="A7" s="23"/>
      <c r="B7" s="6" t="s">
        <v>61</v>
      </c>
      <c r="C7" s="18">
        <f>SUM(SUMIF('Raw Data'!$D$5:$D$499,$B7, 'Raw Data'!$I$5:$KM$499))</f>
        <v>173842.74</v>
      </c>
      <c r="D7" s="28">
        <f>SUM(COUNTIF('Raw Data'!$D$5:$D$499,$B7))</f>
        <v>8</v>
      </c>
      <c r="E7" s="18">
        <f>IF($D7,(SUM(SUMIF('Raw Data'!$D$5:$D$499,$B7, 'Raw Data'!$I$5:$I$499))/SUM(COUNTIF('Raw Data'!$D$5:$D$499,$B7))),"NA")</f>
        <v>21730.342499999999</v>
      </c>
      <c r="F7" s="25">
        <f>IF(D7,SUM(SUMIF('Raw Data'!$D$5:$D$499,$B7, 'Raw Data'!$K$5:$K$499))/SUM(COUNTIF('Raw Data'!$D$5:$D$499,$B7)),"NA")</f>
        <v>0.55163711773948731</v>
      </c>
      <c r="G7" s="25">
        <f>IF(D7,SUM(SUMIF('Raw Data'!$D$5:$D$499,$B7, 'Raw Data'!$M$5:$M$499))/SUM(COUNTIF('Raw Data'!$D$5:$D$499,$B7)),"NA")</f>
        <v>0.10435809096342713</v>
      </c>
      <c r="H7" s="18">
        <f>IF(D7,SUM(SUMIF('Raw Data'!$D$5:$D$499,$B7,'Raw Data'!$N$5:$N$499))/SUM(COUNTIF('Raw Data'!$D$5:$D$499,$B7)),"NA")</f>
        <v>-1420.8824999999999</v>
      </c>
      <c r="I7" s="18">
        <f>IF(D7,SUM(SUMIF('Raw Data'!$D$5:$D$499,$B7, 'Raw Data'!$O$5:$O$499)),"NA")</f>
        <v>3915.85</v>
      </c>
      <c r="J7" s="18">
        <f>IF(D7,SUM(SUMIF('Raw Data'!$D$5:$D$499,$B7, 'Raw Data'!$O$5:$O$499))/SUM(COUNTIF('Raw Data'!$D$5:$D$499,$B7)),"NA")</f>
        <v>489.48124999999999</v>
      </c>
      <c r="Q7" s="2"/>
    </row>
    <row r="8" spans="1:23" x14ac:dyDescent="0.25">
      <c r="A8" s="23"/>
      <c r="B8" s="6" t="s">
        <v>62</v>
      </c>
      <c r="C8" s="18">
        <f>SUM(SUMIF('Raw Data'!$D$5:$D$499,$B8, 'Raw Data'!$I$5:$KM$499))</f>
        <v>349370.62999999995</v>
      </c>
      <c r="D8" s="28">
        <f>SUM(COUNTIF('Raw Data'!$D$5:$D$499,$B8))</f>
        <v>15</v>
      </c>
      <c r="E8" s="18">
        <f>IF($D8,(SUM(SUMIF('Raw Data'!$D$5:$D$499,$B8, 'Raw Data'!$I$5:$I$499))/SUM(COUNTIF('Raw Data'!$D$5:$D$499,$B8))),"NA")</f>
        <v>23291.37533333333</v>
      </c>
      <c r="F8" s="25">
        <f>IF(D8,SUM(SUMIF('Raw Data'!$D$5:$D$499,$B8, 'Raw Data'!$K$5:$K$499))/SUM(COUNTIF('Raw Data'!$D$5:$D$499,$B8)),"NA")</f>
        <v>0.58734064955294407</v>
      </c>
      <c r="G8" s="25">
        <f>IF(D8,SUM(SUMIF('Raw Data'!$D$5:$D$499,$B8, 'Raw Data'!$M$5:$M$499))/SUM(COUNTIF('Raw Data'!$D$5:$D$499,$B8)),"NA")</f>
        <v>0.12635108113710761</v>
      </c>
      <c r="H8" s="18">
        <f>IF(D8,SUM(SUMIF('Raw Data'!$D$5:$D$499,$B8,'Raw Data'!$N$5:$N$499))/SUM(COUNTIF('Raw Data'!$D$5:$D$499,$B8)),"NA")</f>
        <v>1981.9193333333335</v>
      </c>
      <c r="I8" s="18">
        <f>IF(D8,SUM(SUMIF('Raw Data'!$D$5:$D$499,$B8, 'Raw Data'!$O$5:$O$499)),"NA")</f>
        <v>0</v>
      </c>
      <c r="J8" s="18">
        <f>IF(D8,SUM(SUMIF('Raw Data'!$D$5:$D$499,$B8, 'Raw Data'!$O$5:$O$499))/SUM(COUNTIF('Raw Data'!$D$5:$D$499,$B8)),"NA")</f>
        <v>0</v>
      </c>
    </row>
    <row r="9" spans="1:23" x14ac:dyDescent="0.25">
      <c r="A9" s="23"/>
      <c r="B9" s="6" t="s">
        <v>65</v>
      </c>
      <c r="C9" s="18">
        <f>SUM(SUMIF('Raw Data'!$D$5:$D$499,$B9, 'Raw Data'!$I$5:$KM$499))</f>
        <v>11533.13</v>
      </c>
      <c r="D9" s="28">
        <f>SUM(COUNTIF('Raw Data'!$D$5:$D$499,$B9))</f>
        <v>1</v>
      </c>
      <c r="E9" s="18">
        <f>IF($D9,(SUM(SUMIF('Raw Data'!$D$5:$D$499,$B9, 'Raw Data'!$I$5:$I$499))/SUM(COUNTIF('Raw Data'!$D$5:$D$499,$B9))),"NA")</f>
        <v>11533.13</v>
      </c>
      <c r="F9" s="25">
        <f>IF(D9,SUM(SUMIF('Raw Data'!$D$5:$D$499,$B9, 'Raw Data'!$K$5:$K$499))/SUM(COUNTIF('Raw Data'!$D$5:$D$499,$B9)),"NA")</f>
        <v>0.55867141010289489</v>
      </c>
      <c r="G9" s="25">
        <f>IF(D9,SUM(SUMIF('Raw Data'!$D$5:$D$499,$B9, 'Raw Data'!$M$5:$M$499))/SUM(COUNTIF('Raw Data'!$D$5:$D$499,$B9)),"NA")</f>
        <v>0.10795421537778556</v>
      </c>
      <c r="H9" s="18">
        <f>IF(D9,SUM(SUMIF('Raw Data'!$D$5:$D$499,$B9,'Raw Data'!$N$5:$N$499))/SUM(COUNTIF('Raw Data'!$D$5:$D$499,$B9)),"NA")</f>
        <v>763.09</v>
      </c>
      <c r="I9" s="18">
        <f>IF(D9,SUM(SUMIF('Raw Data'!$D$5:$D$499,$B9, 'Raw Data'!$O$5:$O$499)),"NA")</f>
        <v>0</v>
      </c>
      <c r="J9" s="18">
        <f>IF(D9,SUM(SUMIF('Raw Data'!$D$5:$D$499,$B9, 'Raw Data'!$O$5:$O$499))/SUM(COUNTIF('Raw Data'!$D$5:$D$499,$B9)),"NA")</f>
        <v>0</v>
      </c>
    </row>
    <row r="10" spans="1:23" x14ac:dyDescent="0.25">
      <c r="A10" s="23"/>
      <c r="B10" s="6" t="s">
        <v>79</v>
      </c>
      <c r="C10" s="18">
        <f>SUM(SUMIF('Raw Data'!$D$5:$D$499,$B10, 'Raw Data'!$I$5:$KM$499))</f>
        <v>681108.37999999989</v>
      </c>
      <c r="D10" s="28">
        <f>SUM(COUNTIF('Raw Data'!$D$5:$D$499,$B10))</f>
        <v>27</v>
      </c>
      <c r="E10" s="18">
        <f>IF($D10,(SUM(SUMIF('Raw Data'!$D$5:$D$499,$B10, 'Raw Data'!$I$5:$I$499))/SUM(COUNTIF('Raw Data'!$D$5:$D$499,$B10))),"NA")</f>
        <v>25226.236296296291</v>
      </c>
      <c r="F10" s="25">
        <f>IF(D10,SUM(SUMIF('Raw Data'!$D$5:$D$499,$B10, 'Raw Data'!$K$5:$K$499))/SUM(COUNTIF('Raw Data'!$D$5:$D$499,$B10)),"NA")</f>
        <v>0.52682644019267921</v>
      </c>
      <c r="G10" s="25">
        <f>IF(D10,SUM(SUMIF('Raw Data'!$D$5:$D$499,$B10, 'Raw Data'!$M$5:$M$499))/SUM(COUNTIF('Raw Data'!$D$5:$D$499,$B10)),"NA")</f>
        <v>0.11466969250818633</v>
      </c>
      <c r="H10" s="18">
        <f>IF(D10,SUM(SUMIF('Raw Data'!$D$5:$D$499,$B10,'Raw Data'!$N$5:$N$499))/SUM(COUNTIF('Raw Data'!$D$5:$D$499,$B10)),"NA")</f>
        <v>1283.1300000000003</v>
      </c>
      <c r="I10" s="18">
        <f>IF(D10,SUM(SUMIF('Raw Data'!$D$5:$D$499,$B10, 'Raw Data'!$O$5:$O$499)),"NA")</f>
        <v>0</v>
      </c>
      <c r="J10" s="18">
        <f>IF(D10,SUM(SUMIF('Raw Data'!$D$5:$D$499,$B10, 'Raw Data'!$O$5:$O$499))/SUM(COUNTIF('Raw Data'!$D$5:$D$499,$B10)),"NA")</f>
        <v>0</v>
      </c>
    </row>
    <row r="11" spans="1:23" x14ac:dyDescent="0.25">
      <c r="A11" s="23"/>
      <c r="B11" s="7"/>
      <c r="C11" s="18">
        <f>SUM(SUMIF('Raw Data'!$D$5:$D$499,$B11, 'Raw Data'!$I$5:$KM$499))</f>
        <v>0</v>
      </c>
      <c r="D11" s="28">
        <f>SUM(COUNTIF('Raw Data'!$D$5:$D$499,$B11))</f>
        <v>0</v>
      </c>
      <c r="E11" s="18" t="str">
        <f>IF($D11,(SUM(SUMIF('Raw Data'!$D$5:$D$499,$B11, 'Raw Data'!$I$5:$I$499))/SUM(COUNTIF('Raw Data'!$D$5:$D$499,$B11))),"NA")</f>
        <v>NA</v>
      </c>
      <c r="F11" s="25" t="str">
        <f>IF(D11,SUM(SUMIF('Raw Data'!$D$5:$D$499,$B11, 'Raw Data'!$K$5:$K$499))/SUM(COUNTIF('Raw Data'!$D$5:$D$499,$B11)),"NA")</f>
        <v>NA</v>
      </c>
      <c r="G11" s="25" t="str">
        <f>IF(D11,SUM(SUMIF('Raw Data'!$D$5:$D$499,$B11, 'Raw Data'!$M$5:$M$499))/SUM(COUNTIF('Raw Data'!$D$5:$D$499,$B11)),"NA")</f>
        <v>NA</v>
      </c>
      <c r="H11" s="18" t="str">
        <f>IF(D11,SUM(SUMIF('Raw Data'!$D$5:$D$499,$B11,'Raw Data'!$N$5:$N$499))/SUM(COUNTIF('Raw Data'!$D$5:$D$499,$B11)),"NA")</f>
        <v>NA</v>
      </c>
      <c r="I11" s="18" t="str">
        <f>IF(D11,SUM(SUMIF('Raw Data'!$D$5:$D$499,$B11, 'Raw Data'!$O$5:$O$499)),"NA")</f>
        <v>NA</v>
      </c>
      <c r="J11" s="18" t="str">
        <f>IF(D11,SUM(SUMIF('Raw Data'!$D$5:$D$499,$B11, 'Raw Data'!$O$5:$O$499))/SUM(COUNTIF('Raw Data'!$D$5:$D$499,$B11)),"NA")</f>
        <v>NA</v>
      </c>
    </row>
    <row r="12" spans="1:23" ht="15.75" thickBot="1" x14ac:dyDescent="0.3">
      <c r="A12" s="23"/>
      <c r="B12" s="6"/>
      <c r="C12" s="18">
        <f>SUM(SUMIF('Raw Data'!$D$5:$D$499,$B12, 'Raw Data'!$I$5:$KM$499))</f>
        <v>0</v>
      </c>
      <c r="D12" s="28">
        <f>SUM(COUNTIF('Raw Data'!$D$5:$D$499,$B12))</f>
        <v>0</v>
      </c>
      <c r="E12" s="18" t="str">
        <f>IF($D12,(SUM(SUMIF('Raw Data'!$D$5:$D$499,$B12, 'Raw Data'!$I$5:$I$499))/SUM(COUNTIF('Raw Data'!$D$5:$D$499,$B12))),"NA")</f>
        <v>NA</v>
      </c>
      <c r="F12" s="25" t="str">
        <f>IF(D12,SUM(SUMIF('Raw Data'!$D$5:$D$499,$B12, 'Raw Data'!$K$5:$K$499))/SUM(COUNTIF('Raw Data'!$D$5:$D$499,$B12)),"NA")</f>
        <v>NA</v>
      </c>
      <c r="G12" s="25" t="str">
        <f>IF(D12,SUM(SUMIF('Raw Data'!$D$5:$D$499,$B12, 'Raw Data'!$M$5:$M$499))/SUM(COUNTIF('Raw Data'!$D$5:$D$499,$B12)),"NA")</f>
        <v>NA</v>
      </c>
      <c r="H12" s="18" t="str">
        <f>IF(D12,SUM(SUMIF('Raw Data'!$D$5:$D$499,$B12,'Raw Data'!$N$5:$N$499))/SUM(COUNTIF('Raw Data'!$D$5:$D$499,$B12)),"NA")</f>
        <v>NA</v>
      </c>
      <c r="I12" s="18" t="str">
        <f>IF(D12,SUM(SUMIF('Raw Data'!$D$5:$D$499,$B12, 'Raw Data'!$O$5:$O$499)),"NA")</f>
        <v>NA</v>
      </c>
      <c r="J12" s="18" t="str">
        <f>IF(D12,SUM(SUMIF('Raw Data'!$D$5:$D$499,$B12, 'Raw Data'!$O$5:$O$499))/SUM(COUNTIF('Raw Data'!$D$5:$D$499,$B12)),"NA")</f>
        <v>NA</v>
      </c>
    </row>
    <row r="13" spans="1:23" ht="15.75" customHeight="1" x14ac:dyDescent="0.25">
      <c r="B13" s="138"/>
      <c r="C13" s="172">
        <f>SUM(C4:C11)</f>
        <v>1452547.9299999997</v>
      </c>
      <c r="D13" s="176">
        <f>SUM(D4:D11)</f>
        <v>70</v>
      </c>
      <c r="E13" s="172">
        <f>AVERAGE(E4:E11)</f>
        <v>18847.722615399609</v>
      </c>
      <c r="F13" s="174">
        <f>AVERAGE(F4:F11)</f>
        <v>0.5590024882999618</v>
      </c>
      <c r="G13" s="174">
        <f>AVERAGE(G4:G11)</f>
        <v>0.11569953647120931</v>
      </c>
      <c r="H13" s="172">
        <f>AVERAGE(H4:H11)</f>
        <v>694.09389298245628</v>
      </c>
      <c r="I13" s="172">
        <f>SUM(I4:I11)</f>
        <v>3915.85</v>
      </c>
      <c r="J13" s="172">
        <f>AVERAGE(J4:J11)</f>
        <v>97.896249999999995</v>
      </c>
    </row>
    <row r="14" spans="1:23" ht="15.75" customHeight="1" thickBot="1" x14ac:dyDescent="0.3">
      <c r="B14" s="139"/>
      <c r="C14" s="173"/>
      <c r="D14" s="177"/>
      <c r="E14" s="173"/>
      <c r="F14" s="175"/>
      <c r="G14" s="175"/>
      <c r="H14" s="173"/>
      <c r="I14" s="173"/>
      <c r="J14" s="173"/>
    </row>
    <row r="15" spans="1:23" ht="15.75" thickBot="1" x14ac:dyDescent="0.3">
      <c r="B15" s="19"/>
      <c r="C15" s="20"/>
      <c r="D15" s="20"/>
      <c r="E15" s="20"/>
      <c r="F15" s="20"/>
      <c r="G15" s="20"/>
      <c r="H15" s="20"/>
      <c r="I15" s="20"/>
      <c r="J15" s="20"/>
    </row>
    <row r="16" spans="1:23" x14ac:dyDescent="0.25">
      <c r="B16" s="30"/>
      <c r="C16" s="31"/>
      <c r="D16" s="31"/>
      <c r="E16" s="31"/>
      <c r="F16" s="31"/>
      <c r="G16" s="31"/>
      <c r="H16" s="31"/>
      <c r="I16" s="31"/>
      <c r="J16" s="31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3"/>
    </row>
    <row r="17" spans="2:23" x14ac:dyDescent="0.25">
      <c r="B17" s="34"/>
      <c r="C17" s="21"/>
      <c r="D17" s="21"/>
      <c r="E17" s="21"/>
      <c r="F17" s="21"/>
      <c r="G17" s="21"/>
      <c r="H17" s="21"/>
      <c r="I17" s="21"/>
      <c r="J17" s="21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6"/>
    </row>
    <row r="18" spans="2:23" x14ac:dyDescent="0.25">
      <c r="B18" s="34"/>
      <c r="C18" s="21"/>
      <c r="D18" s="21"/>
      <c r="E18" s="21"/>
      <c r="F18" s="21"/>
      <c r="G18" s="21"/>
      <c r="H18" s="21"/>
      <c r="I18" s="21"/>
      <c r="J18" s="21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6"/>
    </row>
    <row r="19" spans="2:23" x14ac:dyDescent="0.25">
      <c r="B19" s="34"/>
      <c r="C19" s="21"/>
      <c r="D19" s="21"/>
      <c r="E19" s="21"/>
      <c r="F19" s="21"/>
      <c r="G19" s="21"/>
      <c r="H19" s="21"/>
      <c r="I19" s="21"/>
      <c r="J19" s="21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6"/>
    </row>
    <row r="20" spans="2:23" x14ac:dyDescent="0.25">
      <c r="B20" s="34"/>
      <c r="C20" s="21"/>
      <c r="D20" s="21"/>
      <c r="E20" s="21"/>
      <c r="F20" s="21"/>
      <c r="G20" s="21"/>
      <c r="H20" s="21"/>
      <c r="I20" s="21"/>
      <c r="J20" s="21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6"/>
    </row>
    <row r="21" spans="2:23" x14ac:dyDescent="0.25">
      <c r="B21" s="34"/>
      <c r="C21" s="21"/>
      <c r="D21" s="21"/>
      <c r="E21" s="21"/>
      <c r="F21" s="21"/>
      <c r="G21" s="21"/>
      <c r="H21" s="21"/>
      <c r="I21" s="21"/>
      <c r="J21" s="21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6"/>
    </row>
    <row r="22" spans="2:23" x14ac:dyDescent="0.25">
      <c r="B22" s="34"/>
      <c r="C22" s="21"/>
      <c r="D22" s="21"/>
      <c r="E22" s="21"/>
      <c r="F22" s="21"/>
      <c r="G22" s="21"/>
      <c r="H22" s="21"/>
      <c r="I22" s="21"/>
      <c r="J22" s="21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6"/>
    </row>
    <row r="23" spans="2:23" x14ac:dyDescent="0.25">
      <c r="B23" s="34"/>
      <c r="C23" s="21"/>
      <c r="D23" s="21"/>
      <c r="E23" s="21"/>
      <c r="F23" s="21"/>
      <c r="G23" s="21"/>
      <c r="H23" s="21"/>
      <c r="I23" s="21"/>
      <c r="J23" s="21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6"/>
    </row>
    <row r="24" spans="2:23" x14ac:dyDescent="0.25">
      <c r="B24" s="34"/>
      <c r="C24" s="21"/>
      <c r="D24" s="21"/>
      <c r="E24" s="21"/>
      <c r="F24" s="21"/>
      <c r="G24" s="21"/>
      <c r="H24" s="21"/>
      <c r="I24" s="21"/>
      <c r="J24" s="21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</row>
    <row r="25" spans="2:23" x14ac:dyDescent="0.25">
      <c r="B25" s="34"/>
      <c r="C25" s="21"/>
      <c r="D25" s="21"/>
      <c r="E25" s="21"/>
      <c r="F25" s="21"/>
      <c r="G25" s="21"/>
      <c r="H25" s="21"/>
      <c r="I25" s="21"/>
      <c r="J25" s="21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6"/>
    </row>
    <row r="26" spans="2:23" x14ac:dyDescent="0.25">
      <c r="B26" s="34"/>
      <c r="C26" s="21"/>
      <c r="D26" s="21"/>
      <c r="E26" s="21"/>
      <c r="F26" s="21"/>
      <c r="G26" s="21"/>
      <c r="H26" s="21"/>
      <c r="I26" s="21"/>
      <c r="J26" s="21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6"/>
    </row>
    <row r="27" spans="2:23" x14ac:dyDescent="0.25">
      <c r="B27" s="34"/>
      <c r="C27" s="21"/>
      <c r="D27" s="21"/>
      <c r="E27" s="21"/>
      <c r="F27" s="21"/>
      <c r="G27" s="21"/>
      <c r="H27" s="21"/>
      <c r="I27" s="21"/>
      <c r="J27" s="21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</row>
    <row r="28" spans="2:23" x14ac:dyDescent="0.25">
      <c r="B28" s="34"/>
      <c r="C28" s="21"/>
      <c r="D28" s="21"/>
      <c r="E28" s="21"/>
      <c r="F28" s="21"/>
      <c r="G28" s="21"/>
      <c r="H28" s="21"/>
      <c r="I28" s="21"/>
      <c r="J28" s="21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6"/>
    </row>
    <row r="29" spans="2:23" x14ac:dyDescent="0.25">
      <c r="B29" s="34"/>
      <c r="C29" s="21"/>
      <c r="D29" s="21"/>
      <c r="E29" s="21"/>
      <c r="F29" s="21"/>
      <c r="G29" s="21"/>
      <c r="H29" s="21"/>
      <c r="I29" s="21"/>
      <c r="J29" s="21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</row>
    <row r="30" spans="2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2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2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7"/>
      <c r="C35" s="20"/>
      <c r="D35" s="20"/>
      <c r="E35" s="20"/>
      <c r="F35" s="20"/>
      <c r="G35" s="20"/>
      <c r="H35" s="20"/>
      <c r="I35" s="20"/>
      <c r="J35" s="20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7"/>
      <c r="C36" s="20"/>
      <c r="D36" s="20"/>
      <c r="E36" s="20"/>
      <c r="F36" s="20"/>
      <c r="G36" s="20"/>
      <c r="H36" s="20"/>
      <c r="I36" s="20"/>
      <c r="J36" s="20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7"/>
      <c r="C37" s="20"/>
      <c r="D37" s="20"/>
      <c r="E37" s="20"/>
      <c r="F37" s="20"/>
      <c r="G37" s="20"/>
      <c r="H37" s="20"/>
      <c r="I37" s="20"/>
      <c r="J37" s="20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7"/>
      <c r="C38" s="20"/>
      <c r="D38" s="20"/>
      <c r="E38" s="20"/>
      <c r="F38" s="20"/>
      <c r="G38" s="20"/>
      <c r="H38" s="20"/>
      <c r="I38" s="20"/>
      <c r="J38" s="2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7"/>
      <c r="C39" s="20"/>
      <c r="D39" s="20"/>
      <c r="E39" s="20"/>
      <c r="F39" s="20"/>
      <c r="G39" s="20"/>
      <c r="H39" s="20"/>
      <c r="I39" s="20"/>
      <c r="J39" s="2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7"/>
      <c r="C40" s="20"/>
      <c r="D40" s="20"/>
      <c r="E40" s="20"/>
      <c r="F40" s="20"/>
      <c r="G40" s="20"/>
      <c r="H40" s="20"/>
      <c r="I40" s="20"/>
      <c r="J40" s="2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7"/>
      <c r="C41" s="20"/>
      <c r="D41" s="20"/>
      <c r="E41" s="20"/>
      <c r="F41" s="20"/>
      <c r="G41" s="20"/>
      <c r="H41" s="20"/>
      <c r="I41" s="20"/>
      <c r="J41" s="20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7"/>
      <c r="C42" s="20"/>
      <c r="D42" s="20"/>
      <c r="E42" s="20"/>
      <c r="F42" s="20"/>
      <c r="G42" s="20"/>
      <c r="H42" s="20"/>
      <c r="I42" s="20"/>
      <c r="J42" s="20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7"/>
      <c r="C43" s="20"/>
      <c r="D43" s="20"/>
      <c r="E43" s="20"/>
      <c r="F43" s="20"/>
      <c r="G43" s="20"/>
      <c r="H43" s="20"/>
      <c r="I43" s="20"/>
      <c r="J43" s="20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7"/>
      <c r="C44" s="20"/>
      <c r="D44" s="20"/>
      <c r="E44" s="20"/>
      <c r="F44" s="20"/>
      <c r="G44" s="20"/>
      <c r="H44" s="20"/>
      <c r="I44" s="20"/>
      <c r="J44" s="20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7"/>
      <c r="C45" s="20"/>
      <c r="D45" s="20"/>
      <c r="E45" s="20"/>
      <c r="F45" s="20"/>
      <c r="G45" s="20"/>
      <c r="H45" s="20"/>
      <c r="I45" s="20"/>
      <c r="J45" s="20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ht="15.75" thickBot="1" x14ac:dyDescent="0.3">
      <c r="B46" s="38"/>
      <c r="C46" s="39"/>
      <c r="D46" s="39"/>
      <c r="E46" s="39"/>
      <c r="F46" s="39"/>
      <c r="G46" s="39"/>
      <c r="H46" s="39"/>
      <c r="I46" s="39"/>
      <c r="J46" s="39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1"/>
    </row>
    <row r="47" spans="2:23" ht="15.75" thickBot="1" x14ac:dyDescent="0.3"/>
    <row r="48" spans="2:23" x14ac:dyDescent="0.25">
      <c r="B48" s="42"/>
      <c r="C48" s="43"/>
      <c r="D48" s="43"/>
      <c r="E48" s="43"/>
      <c r="F48" s="43"/>
      <c r="G48" s="43"/>
      <c r="H48" s="43"/>
      <c r="I48" s="43"/>
      <c r="J48" s="43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3"/>
    </row>
    <row r="49" spans="2:23" x14ac:dyDescent="0.25">
      <c r="B49" s="37"/>
      <c r="C49" s="20"/>
      <c r="D49" s="20"/>
      <c r="E49" s="20"/>
      <c r="F49" s="20"/>
      <c r="G49" s="20"/>
      <c r="H49" s="20"/>
      <c r="I49" s="20"/>
      <c r="J49" s="20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6"/>
    </row>
    <row r="50" spans="2:23" x14ac:dyDescent="0.25">
      <c r="B50" s="37"/>
      <c r="C50" s="20"/>
      <c r="D50" s="20"/>
      <c r="E50" s="20"/>
      <c r="F50" s="20"/>
      <c r="G50" s="20"/>
      <c r="H50" s="20"/>
      <c r="I50" s="20"/>
      <c r="J50" s="20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6"/>
    </row>
    <row r="51" spans="2:23" x14ac:dyDescent="0.25">
      <c r="B51" s="37"/>
      <c r="C51" s="20"/>
      <c r="D51" s="20"/>
      <c r="E51" s="20"/>
      <c r="F51" s="20"/>
      <c r="G51" s="20"/>
      <c r="H51" s="20"/>
      <c r="I51" s="20"/>
      <c r="J51" s="20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6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x14ac:dyDescent="0.25">
      <c r="B59" s="37"/>
      <c r="C59" s="20"/>
      <c r="D59" s="20"/>
      <c r="E59" s="20"/>
      <c r="F59" s="20"/>
      <c r="G59" s="20"/>
      <c r="H59" s="20"/>
      <c r="I59" s="20"/>
      <c r="J59" s="20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6"/>
    </row>
    <row r="60" spans="2:23" x14ac:dyDescent="0.25">
      <c r="B60" s="37"/>
      <c r="C60" s="20"/>
      <c r="D60" s="20"/>
      <c r="E60" s="20"/>
      <c r="F60" s="20"/>
      <c r="G60" s="20"/>
      <c r="H60" s="20"/>
      <c r="I60" s="20"/>
      <c r="J60" s="20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6"/>
    </row>
    <row r="61" spans="2:23" x14ac:dyDescent="0.25">
      <c r="B61" s="37"/>
      <c r="C61" s="20"/>
      <c r="D61" s="20"/>
      <c r="E61" s="20"/>
      <c r="F61" s="20"/>
      <c r="G61" s="20"/>
      <c r="H61" s="20"/>
      <c r="I61" s="20"/>
      <c r="J61" s="20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6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ht="15.75" thickBot="1" x14ac:dyDescent="0.3">
      <c r="B78" s="38"/>
      <c r="C78" s="39"/>
      <c r="D78" s="39"/>
      <c r="E78" s="39"/>
      <c r="F78" s="39"/>
      <c r="G78" s="39"/>
      <c r="H78" s="39"/>
      <c r="I78" s="39"/>
      <c r="J78" s="39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1"/>
    </row>
    <row r="79" spans="2:23" ht="15.75" thickBot="1" x14ac:dyDescent="0.3"/>
    <row r="80" spans="2:23" x14ac:dyDescent="0.25">
      <c r="B80" s="42"/>
      <c r="C80" s="43"/>
      <c r="D80" s="43"/>
      <c r="E80" s="43"/>
      <c r="F80" s="43"/>
      <c r="G80" s="43"/>
      <c r="H80" s="43"/>
      <c r="I80" s="43"/>
      <c r="J80" s="43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3"/>
    </row>
    <row r="81" spans="2:23" x14ac:dyDescent="0.25">
      <c r="B81" s="37"/>
      <c r="C81" s="20"/>
      <c r="D81" s="20"/>
      <c r="E81" s="20"/>
      <c r="F81" s="20"/>
      <c r="G81" s="20"/>
      <c r="H81" s="20"/>
      <c r="I81" s="20"/>
      <c r="J81" s="20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6"/>
    </row>
    <row r="82" spans="2:23" x14ac:dyDescent="0.25">
      <c r="B82" s="37"/>
      <c r="C82" s="20"/>
      <c r="D82" s="20"/>
      <c r="E82" s="20"/>
      <c r="F82" s="20"/>
      <c r="G82" s="20"/>
      <c r="H82" s="20"/>
      <c r="I82" s="20"/>
      <c r="J82" s="20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6"/>
    </row>
    <row r="83" spans="2:23" x14ac:dyDescent="0.25">
      <c r="B83" s="37"/>
      <c r="C83" s="20"/>
      <c r="D83" s="20"/>
      <c r="E83" s="20"/>
      <c r="F83" s="20"/>
      <c r="G83" s="20"/>
      <c r="H83" s="20"/>
      <c r="I83" s="20"/>
      <c r="J83" s="20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6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x14ac:dyDescent="0.25">
      <c r="B91" s="37"/>
      <c r="C91" s="20"/>
      <c r="D91" s="20"/>
      <c r="E91" s="20"/>
      <c r="F91" s="20"/>
      <c r="G91" s="20"/>
      <c r="H91" s="20"/>
      <c r="I91" s="20"/>
      <c r="J91" s="20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6"/>
    </row>
    <row r="92" spans="2:23" x14ac:dyDescent="0.25">
      <c r="B92" s="37"/>
      <c r="C92" s="20"/>
      <c r="D92" s="20"/>
      <c r="E92" s="20"/>
      <c r="F92" s="20"/>
      <c r="G92" s="20"/>
      <c r="H92" s="20"/>
      <c r="I92" s="20"/>
      <c r="J92" s="20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</row>
    <row r="93" spans="2:23" x14ac:dyDescent="0.25">
      <c r="B93" s="37"/>
      <c r="C93" s="20"/>
      <c r="D93" s="20"/>
      <c r="E93" s="20"/>
      <c r="F93" s="20"/>
      <c r="G93" s="20"/>
      <c r="H93" s="20"/>
      <c r="I93" s="20"/>
      <c r="J93" s="20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6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ht="15.75" thickBot="1" x14ac:dyDescent="0.3">
      <c r="B110" s="38"/>
      <c r="C110" s="39"/>
      <c r="D110" s="39"/>
      <c r="E110" s="39"/>
      <c r="F110" s="39"/>
      <c r="G110" s="39"/>
      <c r="H110" s="39"/>
      <c r="I110" s="39"/>
      <c r="J110" s="39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1"/>
    </row>
    <row r="111" spans="2:23" ht="15.75" thickBot="1" x14ac:dyDescent="0.3"/>
    <row r="112" spans="2:23" x14ac:dyDescent="0.25">
      <c r="B112" s="42"/>
      <c r="C112" s="43"/>
      <c r="D112" s="43"/>
      <c r="E112" s="43"/>
      <c r="F112" s="43"/>
      <c r="G112" s="43"/>
      <c r="H112" s="43"/>
      <c r="I112" s="43"/>
      <c r="J112" s="43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3"/>
    </row>
    <row r="113" spans="2:23" x14ac:dyDescent="0.25">
      <c r="B113" s="37"/>
      <c r="C113" s="20"/>
      <c r="D113" s="20"/>
      <c r="E113" s="20"/>
      <c r="F113" s="20"/>
      <c r="G113" s="20"/>
      <c r="H113" s="20"/>
      <c r="I113" s="20"/>
      <c r="J113" s="20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6"/>
    </row>
    <row r="114" spans="2:23" x14ac:dyDescent="0.25">
      <c r="B114" s="37"/>
      <c r="C114" s="20"/>
      <c r="D114" s="20"/>
      <c r="E114" s="20"/>
      <c r="F114" s="20"/>
      <c r="G114" s="20"/>
      <c r="H114" s="20"/>
      <c r="I114" s="20"/>
      <c r="J114" s="20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6"/>
    </row>
    <row r="115" spans="2:23" x14ac:dyDescent="0.25">
      <c r="B115" s="37"/>
      <c r="C115" s="20"/>
      <c r="D115" s="20"/>
      <c r="E115" s="20"/>
      <c r="F115" s="20"/>
      <c r="G115" s="20"/>
      <c r="H115" s="20"/>
      <c r="I115" s="20"/>
      <c r="J115" s="20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6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x14ac:dyDescent="0.25">
      <c r="B123" s="37"/>
      <c r="C123" s="20"/>
      <c r="D123" s="20"/>
      <c r="E123" s="20"/>
      <c r="F123" s="20"/>
      <c r="G123" s="20"/>
      <c r="H123" s="20"/>
      <c r="I123" s="20"/>
      <c r="J123" s="20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6"/>
    </row>
    <row r="124" spans="2:23" x14ac:dyDescent="0.25">
      <c r="B124" s="37"/>
      <c r="C124" s="20"/>
      <c r="D124" s="20"/>
      <c r="E124" s="20"/>
      <c r="F124" s="20"/>
      <c r="G124" s="20"/>
      <c r="H124" s="20"/>
      <c r="I124" s="20"/>
      <c r="J124" s="20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6"/>
    </row>
    <row r="125" spans="2:23" x14ac:dyDescent="0.25">
      <c r="B125" s="37"/>
      <c r="C125" s="20"/>
      <c r="D125" s="20"/>
      <c r="E125" s="20"/>
      <c r="F125" s="20"/>
      <c r="G125" s="20"/>
      <c r="H125" s="20"/>
      <c r="I125" s="20"/>
      <c r="J125" s="20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6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ht="15.75" thickBot="1" x14ac:dyDescent="0.3">
      <c r="B142" s="38"/>
      <c r="C142" s="39"/>
      <c r="D142" s="39"/>
      <c r="E142" s="39"/>
      <c r="F142" s="39"/>
      <c r="G142" s="39"/>
      <c r="H142" s="39"/>
      <c r="I142" s="39"/>
      <c r="J142" s="39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1"/>
    </row>
    <row r="143" spans="2:23" ht="15.75" thickBot="1" x14ac:dyDescent="0.3"/>
    <row r="144" spans="2:23" x14ac:dyDescent="0.25">
      <c r="B144" s="42"/>
      <c r="C144" s="43"/>
      <c r="D144" s="43"/>
      <c r="E144" s="43"/>
      <c r="F144" s="43"/>
      <c r="G144" s="43"/>
      <c r="H144" s="43"/>
      <c r="I144" s="43"/>
      <c r="J144" s="43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3"/>
    </row>
    <row r="145" spans="2:23" x14ac:dyDescent="0.25">
      <c r="B145" s="37"/>
      <c r="C145" s="20"/>
      <c r="D145" s="20"/>
      <c r="E145" s="20"/>
      <c r="F145" s="20"/>
      <c r="G145" s="20"/>
      <c r="H145" s="20"/>
      <c r="I145" s="20"/>
      <c r="J145" s="20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6"/>
    </row>
    <row r="146" spans="2:23" x14ac:dyDescent="0.25">
      <c r="B146" s="37"/>
      <c r="C146" s="20"/>
      <c r="D146" s="20"/>
      <c r="E146" s="20"/>
      <c r="F146" s="20"/>
      <c r="G146" s="20"/>
      <c r="H146" s="20"/>
      <c r="I146" s="20"/>
      <c r="J146" s="20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6"/>
    </row>
    <row r="147" spans="2:23" x14ac:dyDescent="0.25">
      <c r="B147" s="37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6"/>
    </row>
    <row r="148" spans="2:23" x14ac:dyDescent="0.25">
      <c r="B148" s="37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6"/>
    </row>
    <row r="149" spans="2:23" x14ac:dyDescent="0.25">
      <c r="B149" s="37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6"/>
    </row>
    <row r="150" spans="2:23" x14ac:dyDescent="0.25">
      <c r="B150" s="37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6"/>
    </row>
    <row r="151" spans="2:23" x14ac:dyDescent="0.25">
      <c r="B151" s="37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6"/>
    </row>
    <row r="152" spans="2:23" x14ac:dyDescent="0.25">
      <c r="B152" s="37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6"/>
    </row>
    <row r="153" spans="2:23" x14ac:dyDescent="0.25">
      <c r="B153" s="37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6"/>
    </row>
    <row r="154" spans="2:23" x14ac:dyDescent="0.25">
      <c r="B154" s="37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6"/>
    </row>
    <row r="155" spans="2:23" x14ac:dyDescent="0.25">
      <c r="B155" s="37"/>
      <c r="C155" s="20"/>
      <c r="D155" s="20"/>
      <c r="E155" s="20"/>
      <c r="F155" s="20"/>
      <c r="G155" s="20"/>
      <c r="H155" s="20"/>
      <c r="I155" s="20"/>
      <c r="J155" s="20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6"/>
    </row>
    <row r="156" spans="2:23" x14ac:dyDescent="0.25">
      <c r="B156" s="37"/>
      <c r="C156" s="20"/>
      <c r="D156" s="20"/>
      <c r="E156" s="20"/>
      <c r="F156" s="20"/>
      <c r="G156" s="20"/>
      <c r="H156" s="20"/>
      <c r="I156" s="20"/>
      <c r="J156" s="20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6"/>
    </row>
    <row r="157" spans="2:23" x14ac:dyDescent="0.25">
      <c r="B157" s="37"/>
      <c r="C157" s="20"/>
      <c r="D157" s="20"/>
      <c r="E157" s="20"/>
      <c r="F157" s="20"/>
      <c r="G157" s="20"/>
      <c r="H157" s="20"/>
      <c r="I157" s="20"/>
      <c r="J157" s="20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6"/>
    </row>
    <row r="158" spans="2:23" x14ac:dyDescent="0.25">
      <c r="B158" s="37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6"/>
    </row>
    <row r="159" spans="2:23" x14ac:dyDescent="0.25">
      <c r="B159" s="37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6"/>
    </row>
    <row r="160" spans="2:23" x14ac:dyDescent="0.25">
      <c r="B160" s="37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6"/>
    </row>
    <row r="161" spans="2:23" x14ac:dyDescent="0.25">
      <c r="B161" s="37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6"/>
    </row>
    <row r="162" spans="2:23" x14ac:dyDescent="0.25">
      <c r="B162" s="37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6"/>
    </row>
    <row r="163" spans="2:23" x14ac:dyDescent="0.25">
      <c r="B163" s="37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6"/>
    </row>
    <row r="164" spans="2:23" x14ac:dyDescent="0.25">
      <c r="B164" s="37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6"/>
    </row>
    <row r="165" spans="2:23" x14ac:dyDescent="0.25">
      <c r="B165" s="37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6"/>
    </row>
    <row r="166" spans="2:23" x14ac:dyDescent="0.25">
      <c r="B166" s="37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6"/>
    </row>
    <row r="167" spans="2:23" x14ac:dyDescent="0.25">
      <c r="B167" s="37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6"/>
    </row>
    <row r="168" spans="2:23" x14ac:dyDescent="0.25">
      <c r="B168" s="37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6"/>
    </row>
    <row r="169" spans="2:23" x14ac:dyDescent="0.25">
      <c r="B169" s="37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6"/>
    </row>
    <row r="170" spans="2:23" x14ac:dyDescent="0.25">
      <c r="B170" s="37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6"/>
    </row>
    <row r="171" spans="2:23" x14ac:dyDescent="0.25">
      <c r="B171" s="37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6"/>
    </row>
    <row r="172" spans="2:23" x14ac:dyDescent="0.25">
      <c r="B172" s="37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6"/>
    </row>
    <row r="173" spans="2:23" x14ac:dyDescent="0.25">
      <c r="B173" s="37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6"/>
    </row>
    <row r="174" spans="2:23" ht="15.75" thickBot="1" x14ac:dyDescent="0.3">
      <c r="B174" s="38"/>
      <c r="C174" s="39"/>
      <c r="D174" s="39"/>
      <c r="E174" s="39"/>
      <c r="F174" s="39"/>
      <c r="G174" s="39"/>
      <c r="H174" s="39"/>
      <c r="I174" s="39"/>
      <c r="J174" s="39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1"/>
    </row>
    <row r="175" spans="2:23" ht="15.75" thickBot="1" x14ac:dyDescent="0.3"/>
    <row r="176" spans="2:23" x14ac:dyDescent="0.25">
      <c r="B176" s="42"/>
      <c r="C176" s="43"/>
      <c r="D176" s="43"/>
      <c r="E176" s="43"/>
      <c r="F176" s="43"/>
      <c r="G176" s="43"/>
      <c r="H176" s="43"/>
      <c r="I176" s="43"/>
      <c r="J176" s="43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3"/>
    </row>
    <row r="177" spans="2:23" x14ac:dyDescent="0.25">
      <c r="B177" s="37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6"/>
    </row>
    <row r="178" spans="2:23" x14ac:dyDescent="0.25">
      <c r="B178" s="37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6"/>
    </row>
    <row r="179" spans="2:23" x14ac:dyDescent="0.25">
      <c r="B179" s="37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6"/>
    </row>
    <row r="180" spans="2:23" x14ac:dyDescent="0.25">
      <c r="B180" s="37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6"/>
    </row>
    <row r="181" spans="2:23" x14ac:dyDescent="0.25">
      <c r="B181" s="37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6"/>
    </row>
    <row r="182" spans="2:23" x14ac:dyDescent="0.25">
      <c r="B182" s="37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6"/>
    </row>
    <row r="183" spans="2:23" x14ac:dyDescent="0.25">
      <c r="B183" s="37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6"/>
    </row>
    <row r="184" spans="2:23" x14ac:dyDescent="0.25">
      <c r="B184" s="37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6"/>
    </row>
    <row r="185" spans="2:23" x14ac:dyDescent="0.25">
      <c r="B185" s="37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6"/>
    </row>
    <row r="186" spans="2:23" x14ac:dyDescent="0.25">
      <c r="B186" s="37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6"/>
    </row>
    <row r="187" spans="2:23" x14ac:dyDescent="0.25">
      <c r="B187" s="37"/>
      <c r="C187" s="20"/>
      <c r="D187" s="20"/>
      <c r="E187" s="20"/>
      <c r="F187" s="20"/>
      <c r="G187" s="20"/>
      <c r="H187" s="20"/>
      <c r="I187" s="20"/>
      <c r="J187" s="20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6"/>
    </row>
    <row r="188" spans="2:23" x14ac:dyDescent="0.25">
      <c r="B188" s="37"/>
      <c r="C188" s="20"/>
      <c r="D188" s="20"/>
      <c r="E188" s="20"/>
      <c r="F188" s="20"/>
      <c r="G188" s="20"/>
      <c r="H188" s="20"/>
      <c r="I188" s="20"/>
      <c r="J188" s="20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6"/>
    </row>
    <row r="189" spans="2:23" x14ac:dyDescent="0.25">
      <c r="B189" s="37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6"/>
    </row>
    <row r="190" spans="2:23" x14ac:dyDescent="0.25">
      <c r="B190" s="37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6"/>
    </row>
    <row r="191" spans="2:23" x14ac:dyDescent="0.25">
      <c r="B191" s="37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6"/>
    </row>
    <row r="192" spans="2:23" x14ac:dyDescent="0.25">
      <c r="B192" s="37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6"/>
    </row>
    <row r="193" spans="2:23" x14ac:dyDescent="0.25">
      <c r="B193" s="37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6"/>
    </row>
    <row r="194" spans="2:23" x14ac:dyDescent="0.25">
      <c r="B194" s="37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6"/>
    </row>
    <row r="195" spans="2:23" x14ac:dyDescent="0.25">
      <c r="B195" s="37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6"/>
    </row>
    <row r="196" spans="2:23" x14ac:dyDescent="0.25">
      <c r="B196" s="37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6"/>
    </row>
    <row r="197" spans="2:23" x14ac:dyDescent="0.25">
      <c r="B197" s="37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6"/>
    </row>
    <row r="198" spans="2:23" x14ac:dyDescent="0.25">
      <c r="B198" s="37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6"/>
    </row>
    <row r="199" spans="2:23" x14ac:dyDescent="0.25">
      <c r="B199" s="37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6"/>
    </row>
    <row r="200" spans="2:23" x14ac:dyDescent="0.25">
      <c r="B200" s="37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6"/>
    </row>
    <row r="201" spans="2:23" x14ac:dyDescent="0.25">
      <c r="B201" s="37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6"/>
    </row>
    <row r="202" spans="2:23" x14ac:dyDescent="0.25">
      <c r="B202" s="37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6"/>
    </row>
    <row r="203" spans="2:23" x14ac:dyDescent="0.25">
      <c r="B203" s="37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6"/>
    </row>
    <row r="204" spans="2:23" x14ac:dyDescent="0.25">
      <c r="B204" s="37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6"/>
    </row>
    <row r="205" spans="2:23" x14ac:dyDescent="0.25">
      <c r="B205" s="37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6"/>
    </row>
    <row r="206" spans="2:23" ht="15.75" thickBot="1" x14ac:dyDescent="0.3">
      <c r="B206" s="38"/>
      <c r="C206" s="39"/>
      <c r="D206" s="39"/>
      <c r="E206" s="39"/>
      <c r="F206" s="39"/>
      <c r="G206" s="39"/>
      <c r="H206" s="39"/>
      <c r="I206" s="39"/>
      <c r="J206" s="39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1"/>
    </row>
    <row r="207" spans="2:23" ht="15.75" thickBot="1" x14ac:dyDescent="0.3"/>
    <row r="208" spans="2:23" x14ac:dyDescent="0.25">
      <c r="B208" s="42"/>
      <c r="C208" s="43"/>
      <c r="D208" s="43"/>
      <c r="E208" s="43"/>
      <c r="F208" s="43"/>
      <c r="G208" s="43"/>
      <c r="H208" s="43"/>
      <c r="I208" s="43"/>
      <c r="J208" s="43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3"/>
    </row>
    <row r="209" spans="2:23" x14ac:dyDescent="0.25">
      <c r="B209" s="37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6"/>
    </row>
    <row r="210" spans="2:23" x14ac:dyDescent="0.25">
      <c r="B210" s="37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6"/>
    </row>
    <row r="211" spans="2:23" x14ac:dyDescent="0.25">
      <c r="B211" s="37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6"/>
    </row>
    <row r="212" spans="2:23" x14ac:dyDescent="0.25">
      <c r="B212" s="37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6"/>
    </row>
    <row r="213" spans="2:23" x14ac:dyDescent="0.25">
      <c r="B213" s="37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6"/>
    </row>
    <row r="214" spans="2:23" x14ac:dyDescent="0.25">
      <c r="B214" s="37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6"/>
    </row>
    <row r="215" spans="2:23" x14ac:dyDescent="0.25">
      <c r="B215" s="37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6"/>
    </row>
    <row r="216" spans="2:23" x14ac:dyDescent="0.25">
      <c r="B216" s="37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6"/>
    </row>
    <row r="217" spans="2:23" x14ac:dyDescent="0.25">
      <c r="B217" s="37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6"/>
    </row>
    <row r="218" spans="2:23" x14ac:dyDescent="0.25">
      <c r="B218" s="37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6"/>
    </row>
    <row r="219" spans="2:23" x14ac:dyDescent="0.25">
      <c r="B219" s="37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6"/>
    </row>
    <row r="220" spans="2:23" x14ac:dyDescent="0.25">
      <c r="B220" s="37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6"/>
    </row>
    <row r="221" spans="2:23" x14ac:dyDescent="0.25">
      <c r="B221" s="37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6"/>
    </row>
    <row r="222" spans="2:23" x14ac:dyDescent="0.25">
      <c r="B222" s="37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6"/>
    </row>
    <row r="223" spans="2:23" x14ac:dyDescent="0.25">
      <c r="B223" s="37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6"/>
    </row>
    <row r="224" spans="2:23" x14ac:dyDescent="0.25">
      <c r="B224" s="37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6"/>
    </row>
    <row r="225" spans="2:23" x14ac:dyDescent="0.25">
      <c r="B225" s="37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6"/>
    </row>
    <row r="226" spans="2:23" x14ac:dyDescent="0.25">
      <c r="B226" s="37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6"/>
    </row>
    <row r="227" spans="2:23" x14ac:dyDescent="0.25">
      <c r="B227" s="37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6"/>
    </row>
    <row r="228" spans="2:23" x14ac:dyDescent="0.25">
      <c r="B228" s="37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6"/>
    </row>
    <row r="229" spans="2:23" x14ac:dyDescent="0.25">
      <c r="B229" s="37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6"/>
    </row>
    <row r="230" spans="2:23" x14ac:dyDescent="0.25">
      <c r="B230" s="37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6"/>
    </row>
    <row r="231" spans="2:23" x14ac:dyDescent="0.25">
      <c r="B231" s="37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6"/>
    </row>
    <row r="232" spans="2:23" x14ac:dyDescent="0.25">
      <c r="B232" s="37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6"/>
    </row>
    <row r="233" spans="2:23" x14ac:dyDescent="0.25">
      <c r="B233" s="37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6"/>
    </row>
    <row r="234" spans="2:23" x14ac:dyDescent="0.25">
      <c r="B234" s="37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6"/>
    </row>
    <row r="235" spans="2:23" x14ac:dyDescent="0.25">
      <c r="B235" s="37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6"/>
    </row>
    <row r="236" spans="2:23" x14ac:dyDescent="0.25">
      <c r="B236" s="37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6"/>
    </row>
    <row r="237" spans="2:23" x14ac:dyDescent="0.25">
      <c r="B237" s="37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6"/>
    </row>
    <row r="238" spans="2:23" ht="15.75" thickBot="1" x14ac:dyDescent="0.3">
      <c r="B238" s="38"/>
      <c r="C238" s="39"/>
      <c r="D238" s="39"/>
      <c r="E238" s="39"/>
      <c r="F238" s="39"/>
      <c r="G238" s="39"/>
      <c r="H238" s="39"/>
      <c r="I238" s="39"/>
      <c r="J238" s="39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1"/>
    </row>
    <row r="239" spans="2:23" ht="15.75" thickBot="1" x14ac:dyDescent="0.3"/>
    <row r="240" spans="2:23" x14ac:dyDescent="0.25">
      <c r="B240" s="42"/>
      <c r="C240" s="43"/>
      <c r="D240" s="43"/>
      <c r="E240" s="43"/>
      <c r="F240" s="43"/>
      <c r="G240" s="43"/>
      <c r="H240" s="43"/>
      <c r="I240" s="43"/>
      <c r="J240" s="43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3"/>
    </row>
    <row r="241" spans="2:23" x14ac:dyDescent="0.25">
      <c r="B241" s="37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6"/>
    </row>
    <row r="242" spans="2:23" x14ac:dyDescent="0.25">
      <c r="B242" s="37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6"/>
    </row>
    <row r="243" spans="2:23" x14ac:dyDescent="0.25">
      <c r="B243" s="37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6"/>
    </row>
    <row r="244" spans="2:23" x14ac:dyDescent="0.25">
      <c r="B244" s="37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6"/>
    </row>
    <row r="245" spans="2:23" x14ac:dyDescent="0.25">
      <c r="B245" s="37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6"/>
    </row>
    <row r="246" spans="2:23" x14ac:dyDescent="0.25">
      <c r="B246" s="37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6"/>
    </row>
    <row r="247" spans="2:23" x14ac:dyDescent="0.25">
      <c r="B247" s="37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6"/>
    </row>
    <row r="248" spans="2:23" x14ac:dyDescent="0.25">
      <c r="B248" s="37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6"/>
    </row>
    <row r="249" spans="2:23" x14ac:dyDescent="0.25">
      <c r="B249" s="37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6"/>
    </row>
    <row r="250" spans="2:23" x14ac:dyDescent="0.25">
      <c r="B250" s="37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6"/>
    </row>
    <row r="251" spans="2:23" x14ac:dyDescent="0.25">
      <c r="B251" s="37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6"/>
    </row>
    <row r="252" spans="2:23" x14ac:dyDescent="0.25">
      <c r="B252" s="37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6"/>
    </row>
    <row r="253" spans="2:23" x14ac:dyDescent="0.25">
      <c r="B253" s="37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6"/>
    </row>
    <row r="254" spans="2:23" x14ac:dyDescent="0.25">
      <c r="B254" s="37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6"/>
    </row>
    <row r="255" spans="2:23" x14ac:dyDescent="0.25">
      <c r="B255" s="37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6"/>
    </row>
    <row r="256" spans="2:23" x14ac:dyDescent="0.25">
      <c r="B256" s="37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6"/>
    </row>
    <row r="257" spans="2:23" x14ac:dyDescent="0.25">
      <c r="B257" s="37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6"/>
    </row>
    <row r="258" spans="2:23" x14ac:dyDescent="0.25">
      <c r="B258" s="37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6"/>
    </row>
    <row r="259" spans="2:23" x14ac:dyDescent="0.25">
      <c r="B259" s="37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6"/>
    </row>
    <row r="260" spans="2:23" x14ac:dyDescent="0.25">
      <c r="B260" s="37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6"/>
    </row>
    <row r="261" spans="2:23" x14ac:dyDescent="0.25">
      <c r="B261" s="37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6"/>
    </row>
    <row r="262" spans="2:23" x14ac:dyDescent="0.25">
      <c r="B262" s="37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6"/>
    </row>
    <row r="263" spans="2:23" x14ac:dyDescent="0.25">
      <c r="B263" s="37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6"/>
    </row>
    <row r="264" spans="2:23" x14ac:dyDescent="0.25">
      <c r="B264" s="37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6"/>
    </row>
    <row r="265" spans="2:23" x14ac:dyDescent="0.25">
      <c r="B265" s="37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6"/>
    </row>
    <row r="266" spans="2:23" x14ac:dyDescent="0.25">
      <c r="B266" s="37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6"/>
    </row>
    <row r="267" spans="2:23" x14ac:dyDescent="0.25">
      <c r="B267" s="37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6"/>
    </row>
    <row r="268" spans="2:23" x14ac:dyDescent="0.25">
      <c r="B268" s="37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6"/>
    </row>
    <row r="269" spans="2:23" x14ac:dyDescent="0.25">
      <c r="B269" s="37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6"/>
    </row>
    <row r="270" spans="2:23" ht="15.75" thickBot="1" x14ac:dyDescent="0.3">
      <c r="B270" s="38"/>
      <c r="C270" s="39"/>
      <c r="D270" s="39"/>
      <c r="E270" s="39"/>
      <c r="F270" s="39"/>
      <c r="G270" s="39"/>
      <c r="H270" s="39"/>
      <c r="I270" s="39"/>
      <c r="J270" s="39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1"/>
    </row>
  </sheetData>
  <sortState ref="B5:J12">
    <sortCondition ref="B5:B12"/>
  </sortState>
  <mergeCells count="18">
    <mergeCell ref="G2:G3"/>
    <mergeCell ref="G13:G14"/>
    <mergeCell ref="H2:H3"/>
    <mergeCell ref="H13:H14"/>
    <mergeCell ref="J2:J3"/>
    <mergeCell ref="J13:J14"/>
    <mergeCell ref="I2:I3"/>
    <mergeCell ref="I13:I14"/>
    <mergeCell ref="B13:B14"/>
    <mergeCell ref="B2:B3"/>
    <mergeCell ref="C2:C3"/>
    <mergeCell ref="C13:C14"/>
    <mergeCell ref="F2:F3"/>
    <mergeCell ref="F13:F14"/>
    <mergeCell ref="E2:E3"/>
    <mergeCell ref="E13:E14"/>
    <mergeCell ref="D2:D3"/>
    <mergeCell ref="D13:D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85"/>
  <sheetViews>
    <sheetView showGridLines="0" workbookViewId="0">
      <selection activeCell="I8" sqref="I8"/>
    </sheetView>
  </sheetViews>
  <sheetFormatPr defaultRowHeight="15" x14ac:dyDescent="0.25"/>
  <cols>
    <col min="1" max="1" width="2.42578125" customWidth="1"/>
    <col min="2" max="2" width="14.7109375" style="3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4.7109375" style="1" customWidth="1"/>
    <col min="8" max="8" width="12.7109375" style="1" customWidth="1"/>
    <col min="9" max="10" width="14.7109375" style="1" customWidth="1"/>
    <col min="11" max="11" width="2.42578125" customWidth="1"/>
  </cols>
  <sheetData>
    <row r="1" spans="1:17" ht="15.75" thickBot="1" x14ac:dyDescent="0.3">
      <c r="I1" s="29"/>
    </row>
    <row r="2" spans="1:17" ht="15" customHeight="1" x14ac:dyDescent="0.25">
      <c r="B2" s="138" t="s">
        <v>51</v>
      </c>
      <c r="C2" s="140" t="s">
        <v>40</v>
      </c>
      <c r="D2" s="140" t="s">
        <v>47</v>
      </c>
      <c r="E2" s="140" t="s">
        <v>41</v>
      </c>
      <c r="F2" s="140" t="s">
        <v>42</v>
      </c>
      <c r="G2" s="138" t="s">
        <v>44</v>
      </c>
      <c r="H2" s="179"/>
      <c r="I2" s="179"/>
      <c r="J2" s="179"/>
    </row>
    <row r="3" spans="1:17" ht="15.75" customHeight="1" thickBot="1" x14ac:dyDescent="0.3">
      <c r="B3" s="139"/>
      <c r="C3" s="141"/>
      <c r="D3" s="141"/>
      <c r="E3" s="141"/>
      <c r="F3" s="141"/>
      <c r="G3" s="139"/>
      <c r="H3" s="179"/>
      <c r="I3" s="179"/>
      <c r="J3" s="179"/>
    </row>
    <row r="4" spans="1:17" ht="15.75" customHeight="1" x14ac:dyDescent="0.25">
      <c r="A4" s="23"/>
      <c r="B4" s="12" t="s">
        <v>64</v>
      </c>
      <c r="C4" s="17">
        <f>SUM(SUMIF('Raw Data'!$C$5:$C$499,$B4, 'Raw Data'!$I$5:$KM$499))</f>
        <v>1092594.08</v>
      </c>
      <c r="D4" s="44">
        <f>SUM(COUNTIF('Raw Data'!$C$5:$C$499,$B4))</f>
        <v>56</v>
      </c>
      <c r="E4" s="17">
        <f>IF(D4,SUM(SUMIF('Raw Data'!$C$5:$C$499,$B4, 'Raw Data'!$I$5:$I$499))/SUM(COUNTIF('Raw Data'!$C$5:$C$499,$B4)),"NA")</f>
        <v>19510.608571428573</v>
      </c>
      <c r="F4" s="26">
        <f>IF(D4,SUM(SUMIF('Raw Data'!$C$5:$C$499,$B4, 'Raw Data'!$K$5:$K$499))/SUM(COUNTIF('Raw Data'!$C$5:$C$499,$B4)),"NA")</f>
        <v>0.57085694470357384</v>
      </c>
      <c r="G4" s="17">
        <f>IF(D4,SUM(SUMIF('Raw Data'!$C$5:$C$499,$B4, 'Raw Data'!$N$5:$N$499))/SUM(COUNTIF('Raw Data'!$C$5:$C$499,$B4)),"NA")</f>
        <v>1130.7930357142855</v>
      </c>
      <c r="H4" s="46"/>
      <c r="I4" s="45"/>
      <c r="J4" s="45"/>
    </row>
    <row r="5" spans="1:17" ht="15.75" customHeight="1" x14ac:dyDescent="0.25">
      <c r="A5" s="23"/>
      <c r="B5" s="7" t="s">
        <v>83</v>
      </c>
      <c r="C5" s="17">
        <f>SUM(SUMIF('Raw Data'!$C$5:$C$499,$B5, 'Raw Data'!$I$5:$KM$499))</f>
        <v>0</v>
      </c>
      <c r="D5" s="44">
        <f>SUM(COUNTIF('Raw Data'!$C$5:$C$499,$B5))</f>
        <v>0</v>
      </c>
      <c r="E5" s="17" t="str">
        <f>IF(D5,SUM(SUMIF('Raw Data'!$C$5:$C$499,$B5, 'Raw Data'!$I$5:$I$499))/SUM(COUNTIF('Raw Data'!$C$5:$C$499,$B5)),"NA")</f>
        <v>NA</v>
      </c>
      <c r="F5" s="26" t="str">
        <f>IF(D5,SUM(SUMIF('Raw Data'!$C$5:$C$499,$B5, 'Raw Data'!$K$5:$K$499))/SUM(COUNTIF('Raw Data'!$C$5:$C$499,$B5)),"NA")</f>
        <v>NA</v>
      </c>
      <c r="G5" s="17" t="str">
        <f>IF(D5,SUM(SUMIF('Raw Data'!$C$5:$C$499,$B5, 'Raw Data'!$N$5:$N$499))/SUM(COUNTIF('Raw Data'!$C$5:$C$499,$B5)),"NA")</f>
        <v>NA</v>
      </c>
      <c r="H5" s="46"/>
      <c r="I5" s="45"/>
      <c r="J5" s="45"/>
    </row>
    <row r="6" spans="1:17" ht="15.75" customHeight="1" x14ac:dyDescent="0.25">
      <c r="A6" s="23"/>
      <c r="B6" s="7" t="s">
        <v>69</v>
      </c>
      <c r="C6" s="17">
        <f>SUM(SUMIF('Raw Data'!$C$5:$C$499,$B6, 'Raw Data'!$I$5:$KM$499))</f>
        <v>120058.67</v>
      </c>
      <c r="D6" s="44">
        <f>SUM(COUNTIF('Raw Data'!$C$5:$C$499,$B6))</f>
        <v>5</v>
      </c>
      <c r="E6" s="17">
        <f>IF(D6,SUM(SUMIF('Raw Data'!$C$5:$C$499,$B6, 'Raw Data'!$I$5:$I$499))/SUM(COUNTIF('Raw Data'!$C$5:$C$499,$B6)),"NA")</f>
        <v>24011.734</v>
      </c>
      <c r="F6" s="26">
        <f>IF(D6,SUM(SUMIF('Raw Data'!$C$5:$C$499,$B6, 'Raw Data'!$K$5:$K$499))/SUM(COUNTIF('Raw Data'!$C$5:$C$499,$B6)),"NA")</f>
        <v>0.54052463797950678</v>
      </c>
      <c r="G6" s="17">
        <f>IF(D6,SUM(SUMIF('Raw Data'!$C$5:$C$499,$B6, 'Raw Data'!$N$5:$N$499))/SUM(COUNTIF('Raw Data'!$C$5:$C$499,$B6)),"NA")</f>
        <v>1491.4879999999998</v>
      </c>
      <c r="H6" s="46"/>
      <c r="I6" s="45"/>
      <c r="J6" s="45"/>
    </row>
    <row r="7" spans="1:17" ht="15.75" customHeight="1" x14ac:dyDescent="0.25">
      <c r="A7" s="23"/>
      <c r="B7" s="7" t="s">
        <v>84</v>
      </c>
      <c r="C7" s="17">
        <f>SUM(SUMIF('Raw Data'!$C$5:$C$499,$B7, 'Raw Data'!$I$5:$KM$499))</f>
        <v>0</v>
      </c>
      <c r="D7" s="44">
        <f>SUM(COUNTIF('Raw Data'!$C$5:$C$499,$B7))</f>
        <v>0</v>
      </c>
      <c r="E7" s="17" t="str">
        <f>IF(D7,SUM(SUMIF('Raw Data'!$C$5:$C$499,$B7, 'Raw Data'!$I$5:$I$499))/SUM(COUNTIF('Raw Data'!$C$5:$C$499,$B7)),"NA")</f>
        <v>NA</v>
      </c>
      <c r="F7" s="26" t="str">
        <f>IF(D7,SUM(SUMIF('Raw Data'!$C$5:$C$499,$B7, 'Raw Data'!$K$5:$K$499))/SUM(COUNTIF('Raw Data'!$C$5:$C$499,$B7)),"NA")</f>
        <v>NA</v>
      </c>
      <c r="G7" s="17" t="str">
        <f>IF(D7,SUM(SUMIF('Raw Data'!$C$5:$C$499,$B7, 'Raw Data'!$N$5:$N$499))/SUM(COUNTIF('Raw Data'!$C$5:$C$499,$B7)),"NA")</f>
        <v>NA</v>
      </c>
      <c r="H7" s="46"/>
      <c r="I7" s="45"/>
      <c r="J7" s="45"/>
    </row>
    <row r="8" spans="1:17" ht="15.75" customHeight="1" x14ac:dyDescent="0.25">
      <c r="A8" s="23"/>
      <c r="B8" s="6" t="s">
        <v>85</v>
      </c>
      <c r="C8" s="17">
        <f>SUM(SUMIF('Raw Data'!$C$5:$C$499,$B8, 'Raw Data'!$I$5:$KM$499))</f>
        <v>0</v>
      </c>
      <c r="D8" s="44">
        <f>SUM(COUNTIF('Raw Data'!$C$5:$C$499,$B8))</f>
        <v>0</v>
      </c>
      <c r="E8" s="17" t="str">
        <f>IF(D8,SUM(SUMIF('Raw Data'!$C$5:$C$499,$B8, 'Raw Data'!$I$5:$I$499))/SUM(COUNTIF('Raw Data'!$C$5:$C$499,$B8)),"NA")</f>
        <v>NA</v>
      </c>
      <c r="F8" s="26" t="str">
        <f>IF(D8,SUM(SUMIF('Raw Data'!$C$5:$C$499,$B8, 'Raw Data'!$K$5:$K$499))/SUM(COUNTIF('Raw Data'!$C$5:$C$499,$B8)),"NA")</f>
        <v>NA</v>
      </c>
      <c r="G8" s="17" t="str">
        <f>IF(D8,SUM(SUMIF('Raw Data'!$C$5:$C$499,$B8, 'Raw Data'!$N$5:$N$499))/SUM(COUNTIF('Raw Data'!$C$5:$C$499,$B8)),"NA")</f>
        <v>NA</v>
      </c>
      <c r="H8" s="46"/>
      <c r="I8" s="45"/>
      <c r="J8" s="45"/>
    </row>
    <row r="9" spans="1:17" ht="15.75" customHeight="1" x14ac:dyDescent="0.25">
      <c r="A9" s="23"/>
      <c r="B9" s="7" t="s">
        <v>86</v>
      </c>
      <c r="C9" s="17">
        <f>SUM(SUMIF('Raw Data'!$C$5:$C$499,$B9, 'Raw Data'!$I$5:$KM$499))</f>
        <v>7305.51</v>
      </c>
      <c r="D9" s="44">
        <f>SUM(COUNTIF('Raw Data'!$C$5:$C$499,$B9))</f>
        <v>1</v>
      </c>
      <c r="E9" s="17">
        <f>IF(D9,SUM(SUMIF('Raw Data'!$C$5:$C$499,$B9, 'Raw Data'!$I$5:$I$499))/SUM(COUNTIF('Raw Data'!$C$5:$C$499,$B9)),"NA")</f>
        <v>7305.51</v>
      </c>
      <c r="F9" s="26">
        <f>IF(D9,SUM(SUMIF('Raw Data'!$C$5:$C$499,$B9, 'Raw Data'!$K$5:$K$499))/SUM(COUNTIF('Raw Data'!$C$5:$C$499,$B9)),"NA")</f>
        <v>0.53441032864235349</v>
      </c>
      <c r="G9" s="17">
        <f>IF(D9,SUM(SUMIF('Raw Data'!$C$5:$C$499,$B9, 'Raw Data'!$N$5:$N$499))/SUM(COUNTIF('Raw Data'!$C$5:$C$499,$B9)),"NA")</f>
        <v>923.61</v>
      </c>
      <c r="H9" s="46"/>
      <c r="I9" s="45"/>
      <c r="J9" s="45"/>
      <c r="Q9" s="2"/>
    </row>
    <row r="10" spans="1:17" ht="15.75" customHeight="1" x14ac:dyDescent="0.25">
      <c r="A10" s="23"/>
      <c r="B10" s="6" t="s">
        <v>77</v>
      </c>
      <c r="C10" s="17">
        <f>SUM(SUMIF('Raw Data'!$C$5:$C$499,$B10, 'Raw Data'!$I$5:$KM$499))</f>
        <v>0</v>
      </c>
      <c r="D10" s="44">
        <f>SUM(COUNTIF('Raw Data'!$C$5:$C$499,$B10))</f>
        <v>0</v>
      </c>
      <c r="E10" s="17" t="str">
        <f>IF(D10,SUM(SUMIF('Raw Data'!$C$5:$C$499,$B10, 'Raw Data'!$I$5:$I$499))/SUM(COUNTIF('Raw Data'!$C$5:$C$499,$B10)),"NA")</f>
        <v>NA</v>
      </c>
      <c r="F10" s="26" t="str">
        <f>IF(D10,SUM(SUMIF('Raw Data'!$C$5:$C$499,$B10, 'Raw Data'!$K$5:$K$499))/SUM(COUNTIF('Raw Data'!$C$5:$C$499,$B10)),"NA")</f>
        <v>NA</v>
      </c>
      <c r="G10" s="17" t="str">
        <f>IF(D10,SUM(SUMIF('Raw Data'!$C$5:$C$499,$B10, 'Raw Data'!$N$5:$N$499))/SUM(COUNTIF('Raw Data'!$C$5:$C$499,$B10)),"NA")</f>
        <v>NA</v>
      </c>
      <c r="H10" s="46"/>
      <c r="I10" s="45"/>
      <c r="J10" s="45"/>
    </row>
    <row r="11" spans="1:17" ht="15.75" customHeight="1" x14ac:dyDescent="0.25">
      <c r="A11" s="23"/>
      <c r="B11" s="7" t="s">
        <v>82</v>
      </c>
      <c r="C11" s="17">
        <f>SUM(SUMIF('Raw Data'!$C$5:$C$499,$B11, 'Raw Data'!$I$5:$KM$499))</f>
        <v>0</v>
      </c>
      <c r="D11" s="44">
        <f>SUM(COUNTIF('Raw Data'!$C$5:$C$499,$B11))</f>
        <v>0</v>
      </c>
      <c r="E11" s="17" t="str">
        <f>IF(D11,SUM(SUMIF('Raw Data'!$C$5:$C$499,$B11, 'Raw Data'!$I$5:$I$499))/SUM(COUNTIF('Raw Data'!$C$5:$C$499,$B11)),"NA")</f>
        <v>NA</v>
      </c>
      <c r="F11" s="26" t="str">
        <f>IF(D11,SUM(SUMIF('Raw Data'!$C$5:$C$499,$B11, 'Raw Data'!$K$5:$K$499))/SUM(COUNTIF('Raw Data'!$C$5:$C$499,$B11)),"NA")</f>
        <v>NA</v>
      </c>
      <c r="G11" s="17" t="str">
        <f>IF(D11,SUM(SUMIF('Raw Data'!$C$5:$C$499,$B11, 'Raw Data'!$N$5:$N$499))/SUM(COUNTIF('Raw Data'!$C$5:$C$499,$B11)),"NA")</f>
        <v>NA</v>
      </c>
      <c r="H11" s="46"/>
      <c r="I11" s="45"/>
      <c r="J11" s="45"/>
    </row>
    <row r="12" spans="1:17" ht="15.75" customHeight="1" x14ac:dyDescent="0.25">
      <c r="A12" s="23"/>
      <c r="B12" s="6" t="s">
        <v>70</v>
      </c>
      <c r="C12" s="17">
        <f>SUM(SUMIF('Raw Data'!$C$5:$C$499,$B12, 'Raw Data'!$I$5:$KM$499))</f>
        <v>27712.01</v>
      </c>
      <c r="D12" s="44">
        <f>SUM(COUNTIF('Raw Data'!$C$5:$C$499,$B12))</f>
        <v>2</v>
      </c>
      <c r="E12" s="17">
        <f>IF(D12,SUM(SUMIF('Raw Data'!$C$5:$C$499,$B12, 'Raw Data'!$I$5:$I$499))/SUM(COUNTIF('Raw Data'!$C$5:$C$499,$B12)),"NA")</f>
        <v>13856.004999999999</v>
      </c>
      <c r="F12" s="26">
        <f>IF(D12,SUM(SUMIF('Raw Data'!$C$5:$C$499,$B12, 'Raw Data'!$K$5:$K$499))/SUM(COUNTIF('Raw Data'!$C$5:$C$499,$B12)),"NA")</f>
        <v>0.55050002544939836</v>
      </c>
      <c r="G12" s="17">
        <f>IF(D12,SUM(SUMIF('Raw Data'!$C$5:$C$499,$B12, 'Raw Data'!$N$5:$N$499))/SUM(COUNTIF('Raw Data'!$C$5:$C$499,$B12)),"NA")</f>
        <v>113.685</v>
      </c>
      <c r="H12" s="46"/>
      <c r="I12" s="45"/>
      <c r="J12" s="45"/>
    </row>
    <row r="13" spans="1:17" ht="15.75" customHeight="1" x14ac:dyDescent="0.25">
      <c r="A13" s="23"/>
      <c r="B13" s="7" t="s">
        <v>66</v>
      </c>
      <c r="C13" s="17">
        <f>SUM(SUMIF('Raw Data'!$C$5:$C$499,$B13, 'Raw Data'!$I$5:$KM$499))</f>
        <v>253006.13</v>
      </c>
      <c r="D13" s="44">
        <f>SUM(COUNTIF('Raw Data'!$C$5:$C$499,$B13))</f>
        <v>14</v>
      </c>
      <c r="E13" s="17">
        <f>IF(D13,SUM(SUMIF('Raw Data'!$C$5:$C$499,$B13, 'Raw Data'!$I$5:$I$499))/SUM(COUNTIF('Raw Data'!$C$5:$C$499,$B13)),"NA")</f>
        <v>18071.866428571429</v>
      </c>
      <c r="F13" s="26">
        <f>IF(D13,SUM(SUMIF('Raw Data'!$C$5:$C$499,$B13, 'Raw Data'!$K$5:$K$499))/SUM(COUNTIF('Raw Data'!$C$5:$C$499,$B13)),"NA")</f>
        <v>0.56503720709026395</v>
      </c>
      <c r="G13" s="17">
        <f>IF(D13,SUM(SUMIF('Raw Data'!$C$5:$C$499,$B13, 'Raw Data'!$N$5:$N$499))/SUM(COUNTIF('Raw Data'!$C$5:$C$499,$B13)),"NA")</f>
        <v>1077.6992857142857</v>
      </c>
      <c r="H13" s="46"/>
      <c r="I13" s="45"/>
      <c r="J13" s="45"/>
      <c r="Q13" s="2"/>
    </row>
    <row r="14" spans="1:17" ht="15.75" customHeight="1" x14ac:dyDescent="0.25">
      <c r="A14" s="23"/>
      <c r="B14" s="6" t="s">
        <v>73</v>
      </c>
      <c r="C14" s="17">
        <f>SUM(SUMIF('Raw Data'!$C$5:$C$499,$B14, 'Raw Data'!$I$5:$KM$499))</f>
        <v>32256.01</v>
      </c>
      <c r="D14" s="44">
        <f>SUM(COUNTIF('Raw Data'!$C$5:$C$499,$B14))</f>
        <v>1</v>
      </c>
      <c r="E14" s="17">
        <f>IF(D14,SUM(SUMIF('Raw Data'!$C$5:$C$499,$B14, 'Raw Data'!$I$5:$I$499))/SUM(COUNTIF('Raw Data'!$C$5:$C$499,$B14)),"NA")</f>
        <v>32256.01</v>
      </c>
      <c r="F14" s="26">
        <f>IF(D14,SUM(SUMIF('Raw Data'!$C$5:$C$499,$B14, 'Raw Data'!$K$5:$K$499))/SUM(COUNTIF('Raw Data'!$C$5:$C$499,$B14)),"NA")</f>
        <v>0.48590076701985147</v>
      </c>
      <c r="G14" s="17">
        <f>IF(D14,SUM(SUMIF('Raw Data'!$C$5:$C$499,$B14, 'Raw Data'!$N$5:$N$499))/SUM(COUNTIF('Raw Data'!$C$5:$C$499,$B14)),"NA")</f>
        <v>-306.99</v>
      </c>
      <c r="H14" s="46"/>
      <c r="I14" s="45"/>
      <c r="J14" s="45"/>
    </row>
    <row r="15" spans="1:17" ht="15.75" customHeight="1" x14ac:dyDescent="0.25">
      <c r="A15" s="23"/>
      <c r="B15" s="7" t="s">
        <v>71</v>
      </c>
      <c r="C15" s="17">
        <f>SUM(SUMIF('Raw Data'!$C$5:$C$499,$B15, 'Raw Data'!$I$5:$KM$499))</f>
        <v>65408.35</v>
      </c>
      <c r="D15" s="44">
        <f>SUM(COUNTIF('Raw Data'!$C$5:$C$499,$B15))</f>
        <v>4</v>
      </c>
      <c r="E15" s="17">
        <f>IF(D15,SUM(SUMIF('Raw Data'!$C$5:$C$499,$B15, 'Raw Data'!$I$5:$I$499))/SUM(COUNTIF('Raw Data'!$C$5:$C$499,$B15)),"NA")</f>
        <v>16352.0875</v>
      </c>
      <c r="F15" s="26">
        <f>IF(D15,SUM(SUMIF('Raw Data'!$C$5:$C$499,$B15, 'Raw Data'!$K$5:$K$499))/SUM(COUNTIF('Raw Data'!$C$5:$C$499,$B15)),"NA")</f>
        <v>0.58306899662344813</v>
      </c>
      <c r="G15" s="17">
        <f>IF(D15,SUM(SUMIF('Raw Data'!$C$5:$C$499,$B15, 'Raw Data'!$N$5:$N$499))/SUM(COUNTIF('Raw Data'!$C$5:$C$499,$B15)),"NA")</f>
        <v>1352.2250000000001</v>
      </c>
      <c r="H15" s="46"/>
      <c r="I15" s="45"/>
      <c r="J15" s="45"/>
    </row>
    <row r="16" spans="1:17" ht="15.75" customHeight="1" x14ac:dyDescent="0.25">
      <c r="A16" s="23"/>
      <c r="B16" s="7" t="s">
        <v>87</v>
      </c>
      <c r="C16" s="17">
        <f>SUM(SUMIF('Raw Data'!$C$5:$C$499,$B16, 'Raw Data'!$I$5:$KM$499))</f>
        <v>19775.87</v>
      </c>
      <c r="D16" s="44">
        <f>SUM(COUNTIF('Raw Data'!$C$5:$C$499,$B16))</f>
        <v>1</v>
      </c>
      <c r="E16" s="17">
        <f>IF(D16,SUM(SUMIF('Raw Data'!$C$5:$C$499,$B16, 'Raw Data'!$I$5:$I$499))/SUM(COUNTIF('Raw Data'!$C$5:$C$499,$B16)),"NA")</f>
        <v>19775.87</v>
      </c>
      <c r="F16" s="26">
        <f>IF(D16,SUM(SUMIF('Raw Data'!$C$5:$C$499,$B16, 'Raw Data'!$K$5:$K$499))/SUM(COUNTIF('Raw Data'!$C$5:$C$499,$B16)),"NA")</f>
        <v>0.56555893621873521</v>
      </c>
      <c r="G16" s="17">
        <f>IF(D16,SUM(SUMIF('Raw Data'!$C$5:$C$499,$B16, 'Raw Data'!$N$5:$N$499))/SUM(COUNTIF('Raw Data'!$C$5:$C$499,$B16)),"NA")</f>
        <v>553.16999999999996</v>
      </c>
      <c r="H16" s="46"/>
      <c r="I16" s="45"/>
      <c r="J16" s="45"/>
    </row>
    <row r="17" spans="1:23" ht="15.75" customHeight="1" x14ac:dyDescent="0.25">
      <c r="A17" s="23"/>
      <c r="B17" s="7" t="s">
        <v>76</v>
      </c>
      <c r="C17" s="17">
        <f>SUM(SUMIF('Raw Data'!$C$5:$C$499,$B17, 'Raw Data'!$I$5:$KM$499))</f>
        <v>0</v>
      </c>
      <c r="D17" s="44">
        <f>SUM(COUNTIF('Raw Data'!$C$5:$C$499,$B17))</f>
        <v>0</v>
      </c>
      <c r="E17" s="17" t="str">
        <f>IF(D17,SUM(SUMIF('Raw Data'!$C$5:$C$499,$B17, 'Raw Data'!$I$5:$I$499))/SUM(COUNTIF('Raw Data'!$C$5:$C$499,$B17)),"NA")</f>
        <v>NA</v>
      </c>
      <c r="F17" s="26" t="str">
        <f>IF(D17,SUM(SUMIF('Raw Data'!$C$5:$C$499,$B17, 'Raw Data'!$K$5:$K$499))/SUM(COUNTIF('Raw Data'!$C$5:$C$499,$B17)),"NA")</f>
        <v>NA</v>
      </c>
      <c r="G17" s="17" t="str">
        <f>IF(D17,SUM(SUMIF('Raw Data'!$C$5:$C$499,$B17, 'Raw Data'!$N$5:$N$499))/SUM(COUNTIF('Raw Data'!$C$5:$C$499,$B17)),"NA")</f>
        <v>NA</v>
      </c>
      <c r="H17" s="46"/>
      <c r="I17" s="45"/>
      <c r="J17" s="45"/>
    </row>
    <row r="18" spans="1:23" ht="15.75" customHeight="1" x14ac:dyDescent="0.25">
      <c r="A18" s="23"/>
      <c r="B18" s="6"/>
      <c r="C18" s="17">
        <f>SUM(SUMIF('Raw Data'!$C$5:$C$499,$B18, 'Raw Data'!$I$5:$KM$499))</f>
        <v>0</v>
      </c>
      <c r="D18" s="44">
        <f>SUM(COUNTIF('Raw Data'!$C$5:$C$499,$B18))</f>
        <v>0</v>
      </c>
      <c r="E18" s="17" t="str">
        <f>IF(D18,SUM(SUMIF('Raw Data'!$C$5:$C$499,$B18, 'Raw Data'!$I$5:$I$499))/SUM(COUNTIF('Raw Data'!$C$5:$C$499,$B18)),"NA")</f>
        <v>NA</v>
      </c>
      <c r="F18" s="26" t="str">
        <f>IF(D18,SUM(SUMIF('Raw Data'!$C$5:$C$499,$B18, 'Raw Data'!$K$5:$K$499))/SUM(COUNTIF('Raw Data'!$C$5:$C$499,$B18)),"NA")</f>
        <v>NA</v>
      </c>
      <c r="G18" s="17" t="str">
        <f>IF(D18,SUM(SUMIF('Raw Data'!$C$5:$C$499,$B18, 'Raw Data'!$N$5:$N$499))/SUM(COUNTIF('Raw Data'!$C$5:$C$499,$B18)),"NA")</f>
        <v>NA</v>
      </c>
      <c r="H18" s="46"/>
      <c r="I18" s="45"/>
      <c r="J18" s="45"/>
    </row>
    <row r="19" spans="1:23" ht="15.75" customHeight="1" x14ac:dyDescent="0.25">
      <c r="A19" s="23"/>
      <c r="B19" s="7"/>
      <c r="C19" s="17">
        <f>SUM(SUMIF('Raw Data'!$C$5:$C$499,$B19, 'Raw Data'!$I$5:$KM$499))</f>
        <v>0</v>
      </c>
      <c r="D19" s="44">
        <f>SUM(COUNTIF('Raw Data'!$C$5:$C$499,$B19))</f>
        <v>0</v>
      </c>
      <c r="E19" s="17" t="str">
        <f>IF(D19,SUM(SUMIF('Raw Data'!$C$5:$C$499,$B19, 'Raw Data'!$I$5:$I$499))/SUM(COUNTIF('Raw Data'!$C$5:$C$499,$B19)),"NA")</f>
        <v>NA</v>
      </c>
      <c r="F19" s="26" t="str">
        <f>IF(D19,SUM(SUMIF('Raw Data'!$C$5:$C$499,$B19, 'Raw Data'!$K$5:$K$499))/SUM(COUNTIF('Raw Data'!$C$5:$C$499,$B19)),"NA")</f>
        <v>NA</v>
      </c>
      <c r="G19" s="17" t="str">
        <f>IF(D19,SUM(SUMIF('Raw Data'!$C$5:$C$499,$B19, 'Raw Data'!$N$5:$N$499))/SUM(COUNTIF('Raw Data'!$C$5:$C$499,$B19)),"NA")</f>
        <v>NA</v>
      </c>
      <c r="H19" s="46"/>
      <c r="I19" s="45"/>
      <c r="J19" s="45"/>
      <c r="Q19" s="2"/>
    </row>
    <row r="20" spans="1:23" ht="15.75" customHeight="1" x14ac:dyDescent="0.25">
      <c r="A20" s="23"/>
      <c r="B20" s="6"/>
      <c r="C20" s="17">
        <f>SUM(SUMIF('Raw Data'!$C$5:$C$499,$B20, 'Raw Data'!$I$5:$KM$499))</f>
        <v>0</v>
      </c>
      <c r="D20" s="44">
        <f>SUM(COUNTIF('Raw Data'!$C$5:$C$499,$B20))</f>
        <v>0</v>
      </c>
      <c r="E20" s="17" t="str">
        <f>IF(D20,SUM(SUMIF('Raw Data'!$C$5:$C$499,$B20, 'Raw Data'!$I$5:$I$499))/SUM(COUNTIF('Raw Data'!$C$5:$C$499,$B20)),"NA")</f>
        <v>NA</v>
      </c>
      <c r="F20" s="26" t="str">
        <f>IF(D20,SUM(SUMIF('Raw Data'!$C$5:$C$499,$B20, 'Raw Data'!$K$5:$K$499))/SUM(COUNTIF('Raw Data'!$C$5:$C$499,$B20)),"NA")</f>
        <v>NA</v>
      </c>
      <c r="G20" s="17" t="str">
        <f>IF(D20,SUM(SUMIF('Raw Data'!$C$5:$C$499,$B20, 'Raw Data'!$N$5:$N$499))/SUM(COUNTIF('Raw Data'!$C$5:$C$499,$B20)),"NA")</f>
        <v>NA</v>
      </c>
      <c r="H20" s="46"/>
      <c r="I20" s="45"/>
      <c r="J20" s="45"/>
    </row>
    <row r="21" spans="1:23" ht="15.75" customHeight="1" x14ac:dyDescent="0.25">
      <c r="A21" s="23"/>
      <c r="B21" s="7"/>
      <c r="C21" s="17">
        <f>SUM(SUMIF('Raw Data'!$C$5:$C$499,$B21, 'Raw Data'!$I$5:$KM$499))</f>
        <v>0</v>
      </c>
      <c r="D21" s="44">
        <f>SUM(COUNTIF('Raw Data'!$C$5:$C$499,$B21))</f>
        <v>0</v>
      </c>
      <c r="E21" s="17" t="str">
        <f>IF(D21,SUM(SUMIF('Raw Data'!$C$5:$C$499,$B21, 'Raw Data'!$I$5:$I$499))/SUM(COUNTIF('Raw Data'!$C$5:$C$499,$B21)),"NA")</f>
        <v>NA</v>
      </c>
      <c r="F21" s="26" t="str">
        <f>IF(D21,SUM(SUMIF('Raw Data'!$C$5:$C$499,$B21, 'Raw Data'!$K$5:$K$499))/SUM(COUNTIF('Raw Data'!$C$5:$C$499,$B21)),"NA")</f>
        <v>NA</v>
      </c>
      <c r="G21" s="17" t="str">
        <f>IF(D21,SUM(SUMIF('Raw Data'!$C$5:$C$499,$B21, 'Raw Data'!$N$5:$N$499))/SUM(COUNTIF('Raw Data'!$C$5:$C$499,$B21)),"NA")</f>
        <v>NA</v>
      </c>
      <c r="H21" s="46"/>
      <c r="I21" s="45"/>
      <c r="J21" s="45"/>
    </row>
    <row r="22" spans="1:23" ht="15.75" customHeight="1" x14ac:dyDescent="0.25">
      <c r="A22" s="23"/>
      <c r="B22" s="6"/>
      <c r="C22" s="17">
        <f>SUM(SUMIF('Raw Data'!$C$5:$C$499,$B22, 'Raw Data'!$I$5:$KM$499))</f>
        <v>0</v>
      </c>
      <c r="D22" s="44">
        <f>SUM(COUNTIF('Raw Data'!$C$5:$C$499,$B22))</f>
        <v>0</v>
      </c>
      <c r="E22" s="17" t="str">
        <f>IF(D22,SUM(SUMIF('Raw Data'!$C$5:$C$499,$B22, 'Raw Data'!$I$5:$I$499))/SUM(COUNTIF('Raw Data'!$C$5:$C$499,$B22)),"NA")</f>
        <v>NA</v>
      </c>
      <c r="F22" s="26" t="str">
        <f>IF(D22,SUM(SUMIF('Raw Data'!$C$5:$C$499,$B22, 'Raw Data'!$K$5:$K$499))/SUM(COUNTIF('Raw Data'!$C$5:$C$499,$B22)),"NA")</f>
        <v>NA</v>
      </c>
      <c r="G22" s="17" t="str">
        <f>IF(D22,SUM(SUMIF('Raw Data'!$C$5:$C$499,$B22, 'Raw Data'!$N$5:$N$499))/SUM(COUNTIF('Raw Data'!$C$5:$C$499,$B22)),"NA")</f>
        <v>NA</v>
      </c>
      <c r="H22" s="46"/>
      <c r="I22" s="45"/>
      <c r="J22" s="45"/>
    </row>
    <row r="23" spans="1:23" ht="15.75" customHeight="1" x14ac:dyDescent="0.25">
      <c r="A23" s="23"/>
      <c r="B23" s="7"/>
      <c r="C23" s="17">
        <f>SUM(SUMIF('Raw Data'!$C$5:$C$499,$B23, 'Raw Data'!$I$5:$KM$499))</f>
        <v>0</v>
      </c>
      <c r="D23" s="44">
        <f>SUM(COUNTIF('Raw Data'!$C$5:$C$499,$B23))</f>
        <v>0</v>
      </c>
      <c r="E23" s="17" t="str">
        <f>IF(D23,SUM(SUMIF('Raw Data'!$C$5:$C$499,$B23, 'Raw Data'!$I$5:$I$499))/SUM(COUNTIF('Raw Data'!$C$5:$C$499,$B23)),"NA")</f>
        <v>NA</v>
      </c>
      <c r="F23" s="26" t="str">
        <f>IF(D23,SUM(SUMIF('Raw Data'!$C$5:$C$499,$B23, 'Raw Data'!$K$5:$K$499))/SUM(COUNTIF('Raw Data'!$C$5:$C$499,$B23)),"NA")</f>
        <v>NA</v>
      </c>
      <c r="G23" s="17" t="str">
        <f>IF(D23,SUM(SUMIF('Raw Data'!$C$5:$C$499,$B23, 'Raw Data'!$N$5:$N$499))/SUM(COUNTIF('Raw Data'!$C$5:$C$499,$B23)),"NA")</f>
        <v>NA</v>
      </c>
      <c r="H23" s="46"/>
      <c r="I23" s="45"/>
      <c r="J23" s="45"/>
      <c r="Q23" s="2"/>
    </row>
    <row r="24" spans="1:23" ht="15.75" customHeight="1" x14ac:dyDescent="0.25">
      <c r="A24" s="23"/>
      <c r="B24" s="6"/>
      <c r="C24" s="17">
        <f>SUM(SUMIF('Raw Data'!$C$5:$C$499,$B24, 'Raw Data'!$I$5:$KM$499))</f>
        <v>0</v>
      </c>
      <c r="D24" s="44">
        <f>SUM(COUNTIF('Raw Data'!$C$5:$C$499,$B24))</f>
        <v>0</v>
      </c>
      <c r="E24" s="17" t="str">
        <f>IF(D24,SUM(SUMIF('Raw Data'!$C$5:$C$499,$B24, 'Raw Data'!$I$5:$I$499))/SUM(COUNTIF('Raw Data'!$C$5:$C$499,$B24)),"NA")</f>
        <v>NA</v>
      </c>
      <c r="F24" s="26" t="str">
        <f>IF(D24,SUM(SUMIF('Raw Data'!$C$5:$C$499,$B24, 'Raw Data'!$K$5:$K$499))/SUM(COUNTIF('Raw Data'!$C$5:$C$499,$B24)),"NA")</f>
        <v>NA</v>
      </c>
      <c r="G24" s="17" t="str">
        <f>IF(D24,SUM(SUMIF('Raw Data'!$C$5:$C$499,$B24, 'Raw Data'!$N$5:$N$499))/SUM(COUNTIF('Raw Data'!$C$5:$C$499,$B24)),"NA")</f>
        <v>NA</v>
      </c>
      <c r="H24" s="46"/>
      <c r="I24" s="45"/>
      <c r="J24" s="45"/>
    </row>
    <row r="25" spans="1:23" ht="15.75" customHeight="1" thickBot="1" x14ac:dyDescent="0.3">
      <c r="A25" s="23"/>
      <c r="B25" s="7"/>
      <c r="C25" s="17">
        <f>SUM(SUMIF('Raw Data'!$C$5:$C$499,$B25, 'Raw Data'!$I$5:$KM$499))</f>
        <v>0</v>
      </c>
      <c r="D25" s="44">
        <f>SUM(COUNTIF('Raw Data'!$C$5:$C$499,$B25))</f>
        <v>0</v>
      </c>
      <c r="E25" s="17" t="str">
        <f>IF(D25,SUM(SUMIF('Raw Data'!$C$5:$C$499,$B25, 'Raw Data'!$I$5:$I$499))/SUM(COUNTIF('Raw Data'!$C$5:$C$499,$B25)),"NA")</f>
        <v>NA</v>
      </c>
      <c r="F25" s="26" t="str">
        <f>IF(D25,SUM(SUMIF('Raw Data'!$C$5:$C$499,$B25, 'Raw Data'!$K$5:$K$499))/SUM(COUNTIF('Raw Data'!$C$5:$C$499,$B25)),"NA")</f>
        <v>NA</v>
      </c>
      <c r="G25" s="17" t="str">
        <f>IF(D25,SUM(SUMIF('Raw Data'!$C$5:$C$499,$B25, 'Raw Data'!$N$5:$N$499))/SUM(COUNTIF('Raw Data'!$C$5:$C$499,$B25)),"NA")</f>
        <v>NA</v>
      </c>
      <c r="H25" s="46"/>
      <c r="I25" s="45"/>
      <c r="J25" s="45"/>
    </row>
    <row r="26" spans="1:23" ht="15.75" customHeight="1" x14ac:dyDescent="0.25">
      <c r="B26" s="138"/>
      <c r="C26" s="172">
        <f>SUM(C4:C13)</f>
        <v>1500676.4</v>
      </c>
      <c r="D26" s="176">
        <f>SUM(D4:D13)</f>
        <v>78</v>
      </c>
      <c r="E26" s="172">
        <f>AVERAGE(E4:E13)</f>
        <v>16551.144800000002</v>
      </c>
      <c r="F26" s="174">
        <f>AVERAGE(F4:F13)</f>
        <v>0.55226582877301922</v>
      </c>
      <c r="G26" s="172">
        <f>AVERAGE(G4:G13)</f>
        <v>947.45506428571423</v>
      </c>
      <c r="H26" s="180"/>
      <c r="I26" s="178"/>
      <c r="J26" s="178"/>
    </row>
    <row r="27" spans="1:23" ht="15.75" customHeight="1" thickBot="1" x14ac:dyDescent="0.3">
      <c r="B27" s="139"/>
      <c r="C27" s="173"/>
      <c r="D27" s="177"/>
      <c r="E27" s="173"/>
      <c r="F27" s="175"/>
      <c r="G27" s="173"/>
      <c r="H27" s="180"/>
      <c r="I27" s="178"/>
      <c r="J27" s="178"/>
    </row>
    <row r="28" spans="1:23" ht="15.75" thickBot="1" x14ac:dyDescent="0.3">
      <c r="B28" s="19"/>
      <c r="C28" s="20"/>
      <c r="D28" s="20"/>
      <c r="E28" s="20"/>
      <c r="F28" s="20"/>
      <c r="G28" s="20"/>
      <c r="H28" s="20"/>
      <c r="I28" s="20"/>
      <c r="J28" s="20"/>
    </row>
    <row r="29" spans="1:23" x14ac:dyDescent="0.25">
      <c r="B29" s="30"/>
      <c r="C29" s="31"/>
      <c r="D29" s="31"/>
      <c r="E29" s="31"/>
      <c r="F29" s="31"/>
      <c r="G29" s="31"/>
      <c r="H29" s="31"/>
      <c r="I29" s="31"/>
      <c r="J29" s="31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3"/>
    </row>
    <row r="30" spans="1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1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1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4"/>
      <c r="C35" s="21"/>
      <c r="D35" s="21"/>
      <c r="E35" s="21"/>
      <c r="F35" s="21"/>
      <c r="G35" s="21"/>
      <c r="H35" s="21"/>
      <c r="I35" s="21"/>
      <c r="J35" s="21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4"/>
      <c r="C36" s="21"/>
      <c r="D36" s="21"/>
      <c r="E36" s="21"/>
      <c r="F36" s="21"/>
      <c r="G36" s="21"/>
      <c r="H36" s="21"/>
      <c r="I36" s="21"/>
      <c r="J36" s="21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4"/>
      <c r="C37" s="21"/>
      <c r="D37" s="21"/>
      <c r="E37" s="21"/>
      <c r="F37" s="21"/>
      <c r="G37" s="21"/>
      <c r="H37" s="21"/>
      <c r="I37" s="21"/>
      <c r="J37" s="21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4"/>
      <c r="C38" s="21"/>
      <c r="D38" s="21"/>
      <c r="E38" s="21"/>
      <c r="F38" s="21"/>
      <c r="G38" s="21"/>
      <c r="H38" s="21"/>
      <c r="I38" s="21"/>
      <c r="J38" s="21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4"/>
      <c r="C39" s="21"/>
      <c r="D39" s="21"/>
      <c r="E39" s="21"/>
      <c r="F39" s="21"/>
      <c r="G39" s="21"/>
      <c r="H39" s="21"/>
      <c r="I39" s="21"/>
      <c r="J39" s="21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4"/>
      <c r="C40" s="21"/>
      <c r="D40" s="21"/>
      <c r="E40" s="21"/>
      <c r="F40" s="21"/>
      <c r="G40" s="21"/>
      <c r="H40" s="21"/>
      <c r="I40" s="21"/>
      <c r="J40" s="21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4"/>
      <c r="C41" s="21"/>
      <c r="D41" s="21"/>
      <c r="E41" s="21"/>
      <c r="F41" s="21"/>
      <c r="G41" s="21"/>
      <c r="H41" s="21"/>
      <c r="I41" s="21"/>
      <c r="J41" s="21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4"/>
      <c r="C42" s="21"/>
      <c r="D42" s="21"/>
      <c r="E42" s="21"/>
      <c r="F42" s="21"/>
      <c r="G42" s="21"/>
      <c r="H42" s="21"/>
      <c r="I42" s="21"/>
      <c r="J42" s="21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4"/>
      <c r="C43" s="21"/>
      <c r="D43" s="21"/>
      <c r="E43" s="21"/>
      <c r="F43" s="21"/>
      <c r="G43" s="21"/>
      <c r="H43" s="21"/>
      <c r="I43" s="21"/>
      <c r="J43" s="21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4"/>
      <c r="C44" s="21"/>
      <c r="D44" s="21"/>
      <c r="E44" s="21"/>
      <c r="F44" s="21"/>
      <c r="G44" s="21"/>
      <c r="H44" s="21"/>
      <c r="I44" s="21"/>
      <c r="J44" s="21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4"/>
      <c r="C45" s="21"/>
      <c r="D45" s="21"/>
      <c r="E45" s="21"/>
      <c r="F45" s="21"/>
      <c r="G45" s="21"/>
      <c r="H45" s="21"/>
      <c r="I45" s="21"/>
      <c r="J45" s="21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x14ac:dyDescent="0.25">
      <c r="B46" s="34"/>
      <c r="C46" s="21"/>
      <c r="D46" s="21"/>
      <c r="E46" s="21"/>
      <c r="F46" s="21"/>
      <c r="G46" s="21"/>
      <c r="H46" s="21"/>
      <c r="I46" s="21"/>
      <c r="J46" s="21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6"/>
    </row>
    <row r="47" spans="2:23" x14ac:dyDescent="0.25">
      <c r="B47" s="34"/>
      <c r="C47" s="21"/>
      <c r="D47" s="21"/>
      <c r="E47" s="21"/>
      <c r="F47" s="21"/>
      <c r="G47" s="21"/>
      <c r="H47" s="21"/>
      <c r="I47" s="21"/>
      <c r="J47" s="21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6"/>
    </row>
    <row r="48" spans="2:23" x14ac:dyDescent="0.25">
      <c r="B48" s="37"/>
      <c r="C48" s="20"/>
      <c r="D48" s="20"/>
      <c r="E48" s="20"/>
      <c r="F48" s="20"/>
      <c r="G48" s="20"/>
      <c r="H48" s="20"/>
      <c r="I48" s="20"/>
      <c r="J48" s="20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6"/>
    </row>
    <row r="49" spans="2:23" x14ac:dyDescent="0.25">
      <c r="B49" s="37"/>
      <c r="C49" s="20"/>
      <c r="D49" s="20"/>
      <c r="E49" s="20"/>
      <c r="F49" s="20"/>
      <c r="G49" s="20"/>
      <c r="H49" s="20"/>
      <c r="I49" s="20"/>
      <c r="J49" s="20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6"/>
    </row>
    <row r="50" spans="2:23" x14ac:dyDescent="0.25">
      <c r="B50" s="37"/>
      <c r="C50" s="20"/>
      <c r="D50" s="20"/>
      <c r="E50" s="20"/>
      <c r="F50" s="20"/>
      <c r="G50" s="20"/>
      <c r="H50" s="20"/>
      <c r="I50" s="20"/>
      <c r="J50" s="20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6"/>
    </row>
    <row r="51" spans="2:23" x14ac:dyDescent="0.25">
      <c r="B51" s="37"/>
      <c r="C51" s="20"/>
      <c r="D51" s="20"/>
      <c r="E51" s="20"/>
      <c r="F51" s="20"/>
      <c r="G51" s="20"/>
      <c r="H51" s="20"/>
      <c r="I51" s="20"/>
      <c r="J51" s="20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6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ht="15.75" thickBot="1" x14ac:dyDescent="0.3">
      <c r="B59" s="38"/>
      <c r="C59" s="39"/>
      <c r="D59" s="39"/>
      <c r="E59" s="39"/>
      <c r="F59" s="39"/>
      <c r="G59" s="39"/>
      <c r="H59" s="39"/>
      <c r="I59" s="39"/>
      <c r="J59" s="39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1"/>
    </row>
    <row r="60" spans="2:23" ht="15.75" thickBot="1" x14ac:dyDescent="0.3"/>
    <row r="61" spans="2:23" x14ac:dyDescent="0.25">
      <c r="B61" s="42"/>
      <c r="C61" s="43"/>
      <c r="D61" s="43"/>
      <c r="E61" s="43"/>
      <c r="F61" s="43"/>
      <c r="G61" s="43"/>
      <c r="H61" s="43"/>
      <c r="I61" s="43"/>
      <c r="J61" s="43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3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x14ac:dyDescent="0.25">
      <c r="B78" s="37"/>
      <c r="C78" s="20"/>
      <c r="D78" s="20"/>
      <c r="E78" s="20"/>
      <c r="F78" s="20"/>
      <c r="G78" s="20"/>
      <c r="H78" s="20"/>
      <c r="I78" s="20"/>
      <c r="J78" s="20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6"/>
    </row>
    <row r="79" spans="2:23" x14ac:dyDescent="0.25">
      <c r="B79" s="37"/>
      <c r="C79" s="20"/>
      <c r="D79" s="20"/>
      <c r="E79" s="20"/>
      <c r="F79" s="20"/>
      <c r="G79" s="20"/>
      <c r="H79" s="20"/>
      <c r="I79" s="20"/>
      <c r="J79" s="20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6"/>
    </row>
    <row r="80" spans="2:23" x14ac:dyDescent="0.25">
      <c r="B80" s="37"/>
      <c r="C80" s="20"/>
      <c r="D80" s="20"/>
      <c r="E80" s="20"/>
      <c r="F80" s="20"/>
      <c r="G80" s="20"/>
      <c r="H80" s="20"/>
      <c r="I80" s="20"/>
      <c r="J80" s="20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6"/>
    </row>
    <row r="81" spans="2:23" x14ac:dyDescent="0.25">
      <c r="B81" s="37"/>
      <c r="C81" s="20"/>
      <c r="D81" s="20"/>
      <c r="E81" s="20"/>
      <c r="F81" s="20"/>
      <c r="G81" s="20"/>
      <c r="H81" s="20"/>
      <c r="I81" s="20"/>
      <c r="J81" s="20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6"/>
    </row>
    <row r="82" spans="2:23" x14ac:dyDescent="0.25">
      <c r="B82" s="37"/>
      <c r="C82" s="20"/>
      <c r="D82" s="20"/>
      <c r="E82" s="20"/>
      <c r="F82" s="20"/>
      <c r="G82" s="20"/>
      <c r="H82" s="20"/>
      <c r="I82" s="20"/>
      <c r="J82" s="20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6"/>
    </row>
    <row r="83" spans="2:23" x14ac:dyDescent="0.25">
      <c r="B83" s="37"/>
      <c r="C83" s="20"/>
      <c r="D83" s="20"/>
      <c r="E83" s="20"/>
      <c r="F83" s="20"/>
      <c r="G83" s="20"/>
      <c r="H83" s="20"/>
      <c r="I83" s="20"/>
      <c r="J83" s="20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6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ht="15.75" thickBot="1" x14ac:dyDescent="0.3">
      <c r="B91" s="38"/>
      <c r="C91" s="39"/>
      <c r="D91" s="39"/>
      <c r="E91" s="39"/>
      <c r="F91" s="39"/>
      <c r="G91" s="39"/>
      <c r="H91" s="39"/>
      <c r="I91" s="39"/>
      <c r="J91" s="39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1"/>
    </row>
    <row r="92" spans="2:23" ht="15.75" thickBot="1" x14ac:dyDescent="0.3"/>
    <row r="93" spans="2:23" x14ac:dyDescent="0.25">
      <c r="B93" s="42"/>
      <c r="C93" s="43"/>
      <c r="D93" s="43"/>
      <c r="E93" s="43"/>
      <c r="F93" s="43"/>
      <c r="G93" s="43"/>
      <c r="H93" s="43"/>
      <c r="I93" s="43"/>
      <c r="J93" s="43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3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x14ac:dyDescent="0.25">
      <c r="B110" s="37"/>
      <c r="C110" s="20"/>
      <c r="D110" s="20"/>
      <c r="E110" s="20"/>
      <c r="F110" s="20"/>
      <c r="G110" s="20"/>
      <c r="H110" s="20"/>
      <c r="I110" s="20"/>
      <c r="J110" s="20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6"/>
    </row>
    <row r="111" spans="2:23" x14ac:dyDescent="0.25">
      <c r="B111" s="37"/>
      <c r="C111" s="20"/>
      <c r="D111" s="20"/>
      <c r="E111" s="20"/>
      <c r="F111" s="20"/>
      <c r="G111" s="20"/>
      <c r="H111" s="20"/>
      <c r="I111" s="20"/>
      <c r="J111" s="20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6"/>
    </row>
    <row r="112" spans="2:23" x14ac:dyDescent="0.25">
      <c r="B112" s="37"/>
      <c r="C112" s="20"/>
      <c r="D112" s="20"/>
      <c r="E112" s="20"/>
      <c r="F112" s="20"/>
      <c r="G112" s="20"/>
      <c r="H112" s="20"/>
      <c r="I112" s="20"/>
      <c r="J112" s="20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6"/>
    </row>
    <row r="113" spans="2:23" x14ac:dyDescent="0.25">
      <c r="B113" s="37"/>
      <c r="C113" s="20"/>
      <c r="D113" s="20"/>
      <c r="E113" s="20"/>
      <c r="F113" s="20"/>
      <c r="G113" s="20"/>
      <c r="H113" s="20"/>
      <c r="I113" s="20"/>
      <c r="J113" s="20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6"/>
    </row>
    <row r="114" spans="2:23" x14ac:dyDescent="0.25">
      <c r="B114" s="37"/>
      <c r="C114" s="20"/>
      <c r="D114" s="20"/>
      <c r="E114" s="20"/>
      <c r="F114" s="20"/>
      <c r="G114" s="20"/>
      <c r="H114" s="20"/>
      <c r="I114" s="20"/>
      <c r="J114" s="20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6"/>
    </row>
    <row r="115" spans="2:23" x14ac:dyDescent="0.25">
      <c r="B115" s="37"/>
      <c r="C115" s="20"/>
      <c r="D115" s="20"/>
      <c r="E115" s="20"/>
      <c r="F115" s="20"/>
      <c r="G115" s="20"/>
      <c r="H115" s="20"/>
      <c r="I115" s="20"/>
      <c r="J115" s="20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6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ht="15.75" thickBot="1" x14ac:dyDescent="0.3">
      <c r="B123" s="38"/>
      <c r="C123" s="39"/>
      <c r="D123" s="39"/>
      <c r="E123" s="39"/>
      <c r="F123" s="39"/>
      <c r="G123" s="39"/>
      <c r="H123" s="39"/>
      <c r="I123" s="39"/>
      <c r="J123" s="39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1"/>
    </row>
    <row r="124" spans="2:23" ht="15.75" thickBot="1" x14ac:dyDescent="0.3"/>
    <row r="125" spans="2:23" x14ac:dyDescent="0.25">
      <c r="B125" s="42"/>
      <c r="C125" s="43"/>
      <c r="D125" s="43"/>
      <c r="E125" s="43"/>
      <c r="F125" s="43"/>
      <c r="G125" s="43"/>
      <c r="H125" s="43"/>
      <c r="I125" s="43"/>
      <c r="J125" s="43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3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x14ac:dyDescent="0.25">
      <c r="B142" s="37"/>
      <c r="C142" s="20"/>
      <c r="D142" s="20"/>
      <c r="E142" s="20"/>
      <c r="F142" s="20"/>
      <c r="G142" s="20"/>
      <c r="H142" s="20"/>
      <c r="I142" s="20"/>
      <c r="J142" s="20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6"/>
    </row>
    <row r="143" spans="2:23" x14ac:dyDescent="0.25">
      <c r="B143" s="37"/>
      <c r="C143" s="20"/>
      <c r="D143" s="20"/>
      <c r="E143" s="20"/>
      <c r="F143" s="20"/>
      <c r="G143" s="20"/>
      <c r="H143" s="20"/>
      <c r="I143" s="20"/>
      <c r="J143" s="20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6"/>
    </row>
    <row r="144" spans="2:23" x14ac:dyDescent="0.25">
      <c r="B144" s="37"/>
      <c r="C144" s="20"/>
      <c r="D144" s="20"/>
      <c r="E144" s="20"/>
      <c r="F144" s="20"/>
      <c r="G144" s="20"/>
      <c r="H144" s="20"/>
      <c r="I144" s="20"/>
      <c r="J144" s="20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6"/>
    </row>
    <row r="145" spans="2:23" x14ac:dyDescent="0.25">
      <c r="B145" s="37"/>
      <c r="C145" s="20"/>
      <c r="D145" s="20"/>
      <c r="E145" s="20"/>
      <c r="F145" s="20"/>
      <c r="G145" s="20"/>
      <c r="H145" s="20"/>
      <c r="I145" s="20"/>
      <c r="J145" s="20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6"/>
    </row>
    <row r="146" spans="2:23" x14ac:dyDescent="0.25">
      <c r="B146" s="37"/>
      <c r="C146" s="20"/>
      <c r="D146" s="20"/>
      <c r="E146" s="20"/>
      <c r="F146" s="20"/>
      <c r="G146" s="20"/>
      <c r="H146" s="20"/>
      <c r="I146" s="20"/>
      <c r="J146" s="20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6"/>
    </row>
    <row r="147" spans="2:23" x14ac:dyDescent="0.25">
      <c r="B147" s="37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6"/>
    </row>
    <row r="148" spans="2:23" x14ac:dyDescent="0.25">
      <c r="B148" s="37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6"/>
    </row>
    <row r="149" spans="2:23" x14ac:dyDescent="0.25">
      <c r="B149" s="37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6"/>
    </row>
    <row r="150" spans="2:23" x14ac:dyDescent="0.25">
      <c r="B150" s="37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6"/>
    </row>
    <row r="151" spans="2:23" x14ac:dyDescent="0.25">
      <c r="B151" s="37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6"/>
    </row>
    <row r="152" spans="2:23" x14ac:dyDescent="0.25">
      <c r="B152" s="37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6"/>
    </row>
    <row r="153" spans="2:23" x14ac:dyDescent="0.25">
      <c r="B153" s="37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6"/>
    </row>
    <row r="154" spans="2:23" x14ac:dyDescent="0.25">
      <c r="B154" s="37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6"/>
    </row>
    <row r="155" spans="2:23" ht="15.75" thickBot="1" x14ac:dyDescent="0.3">
      <c r="B155" s="38"/>
      <c r="C155" s="39"/>
      <c r="D155" s="39"/>
      <c r="E155" s="39"/>
      <c r="F155" s="39"/>
      <c r="G155" s="39"/>
      <c r="H155" s="39"/>
      <c r="I155" s="39"/>
      <c r="J155" s="39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1"/>
    </row>
    <row r="156" spans="2:23" ht="15.75" thickBot="1" x14ac:dyDescent="0.3"/>
    <row r="157" spans="2:23" x14ac:dyDescent="0.25">
      <c r="B157" s="42"/>
      <c r="C157" s="43"/>
      <c r="D157" s="43"/>
      <c r="E157" s="43"/>
      <c r="F157" s="43"/>
      <c r="G157" s="43"/>
      <c r="H157" s="43"/>
      <c r="I157" s="43"/>
      <c r="J157" s="43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3"/>
    </row>
    <row r="158" spans="2:23" x14ac:dyDescent="0.25">
      <c r="B158" s="37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6"/>
    </row>
    <row r="159" spans="2:23" x14ac:dyDescent="0.25">
      <c r="B159" s="37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6"/>
    </row>
    <row r="160" spans="2:23" x14ac:dyDescent="0.25">
      <c r="B160" s="37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6"/>
    </row>
    <row r="161" spans="2:23" x14ac:dyDescent="0.25">
      <c r="B161" s="37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6"/>
    </row>
    <row r="162" spans="2:23" x14ac:dyDescent="0.25">
      <c r="B162" s="37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6"/>
    </row>
    <row r="163" spans="2:23" x14ac:dyDescent="0.25">
      <c r="B163" s="37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6"/>
    </row>
    <row r="164" spans="2:23" x14ac:dyDescent="0.25">
      <c r="B164" s="37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6"/>
    </row>
    <row r="165" spans="2:23" x14ac:dyDescent="0.25">
      <c r="B165" s="37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6"/>
    </row>
    <row r="166" spans="2:23" x14ac:dyDescent="0.25">
      <c r="B166" s="37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6"/>
    </row>
    <row r="167" spans="2:23" x14ac:dyDescent="0.25">
      <c r="B167" s="37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6"/>
    </row>
    <row r="168" spans="2:23" x14ac:dyDescent="0.25">
      <c r="B168" s="37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6"/>
    </row>
    <row r="169" spans="2:23" x14ac:dyDescent="0.25">
      <c r="B169" s="37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6"/>
    </row>
    <row r="170" spans="2:23" x14ac:dyDescent="0.25">
      <c r="B170" s="37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6"/>
    </row>
    <row r="171" spans="2:23" x14ac:dyDescent="0.25">
      <c r="B171" s="37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6"/>
    </row>
    <row r="172" spans="2:23" x14ac:dyDescent="0.25">
      <c r="B172" s="37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6"/>
    </row>
    <row r="173" spans="2:23" x14ac:dyDescent="0.25">
      <c r="B173" s="37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6"/>
    </row>
    <row r="174" spans="2:23" x14ac:dyDescent="0.25">
      <c r="B174" s="37"/>
      <c r="C174" s="20"/>
      <c r="D174" s="20"/>
      <c r="E174" s="20"/>
      <c r="F174" s="20"/>
      <c r="G174" s="20"/>
      <c r="H174" s="20"/>
      <c r="I174" s="20"/>
      <c r="J174" s="20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6"/>
    </row>
    <row r="175" spans="2:23" x14ac:dyDescent="0.25">
      <c r="B175" s="37"/>
      <c r="C175" s="20"/>
      <c r="D175" s="20"/>
      <c r="E175" s="20"/>
      <c r="F175" s="20"/>
      <c r="G175" s="20"/>
      <c r="H175" s="20"/>
      <c r="I175" s="20"/>
      <c r="J175" s="20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6"/>
    </row>
    <row r="176" spans="2:23" x14ac:dyDescent="0.25">
      <c r="B176" s="37"/>
      <c r="C176" s="20"/>
      <c r="D176" s="20"/>
      <c r="E176" s="20"/>
      <c r="F176" s="20"/>
      <c r="G176" s="20"/>
      <c r="H176" s="20"/>
      <c r="I176" s="20"/>
      <c r="J176" s="20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6"/>
    </row>
    <row r="177" spans="2:23" x14ac:dyDescent="0.25">
      <c r="B177" s="37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6"/>
    </row>
    <row r="178" spans="2:23" x14ac:dyDescent="0.25">
      <c r="B178" s="37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6"/>
    </row>
    <row r="179" spans="2:23" x14ac:dyDescent="0.25">
      <c r="B179" s="37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6"/>
    </row>
    <row r="180" spans="2:23" x14ac:dyDescent="0.25">
      <c r="B180" s="37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6"/>
    </row>
    <row r="181" spans="2:23" x14ac:dyDescent="0.25">
      <c r="B181" s="37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6"/>
    </row>
    <row r="182" spans="2:23" x14ac:dyDescent="0.25">
      <c r="B182" s="37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6"/>
    </row>
    <row r="183" spans="2:23" x14ac:dyDescent="0.25">
      <c r="B183" s="37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6"/>
    </row>
    <row r="184" spans="2:23" x14ac:dyDescent="0.25">
      <c r="B184" s="37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6"/>
    </row>
    <row r="185" spans="2:23" x14ac:dyDescent="0.25">
      <c r="B185" s="37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6"/>
    </row>
    <row r="186" spans="2:23" x14ac:dyDescent="0.25">
      <c r="B186" s="37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6"/>
    </row>
    <row r="187" spans="2:23" ht="15.75" thickBot="1" x14ac:dyDescent="0.3">
      <c r="B187" s="38"/>
      <c r="C187" s="39"/>
      <c r="D187" s="39"/>
      <c r="E187" s="39"/>
      <c r="F187" s="39"/>
      <c r="G187" s="39"/>
      <c r="H187" s="39"/>
      <c r="I187" s="39"/>
      <c r="J187" s="39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1"/>
    </row>
    <row r="189" spans="2:23" x14ac:dyDescent="0.25">
      <c r="B189" s="19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spans="2:23" x14ac:dyDescent="0.25">
      <c r="B190" s="19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2:23" x14ac:dyDescent="0.25">
      <c r="B191" s="19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spans="2:23" x14ac:dyDescent="0.25">
      <c r="B192" s="19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2:24" x14ac:dyDescent="0.25">
      <c r="B193" s="19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spans="2:24" x14ac:dyDescent="0.25">
      <c r="B194" s="19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2:24" x14ac:dyDescent="0.25">
      <c r="B195" s="19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spans="2:24" x14ac:dyDescent="0.25">
      <c r="B196" s="19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2:24" x14ac:dyDescent="0.25">
      <c r="B197" s="19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spans="2:24" x14ac:dyDescent="0.25">
      <c r="B198" s="19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2:24" x14ac:dyDescent="0.25">
      <c r="B199" s="19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spans="2:24" x14ac:dyDescent="0.25">
      <c r="B200" s="19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2:24" x14ac:dyDescent="0.25">
      <c r="B201" s="19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2:24" x14ac:dyDescent="0.25">
      <c r="B202" s="19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2:24" x14ac:dyDescent="0.25">
      <c r="B203" s="19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2:24" x14ac:dyDescent="0.25">
      <c r="B204" s="19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2:24" x14ac:dyDescent="0.25">
      <c r="B205" s="19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2:24" x14ac:dyDescent="0.25">
      <c r="B206" s="19"/>
      <c r="C206" s="20"/>
      <c r="D206" s="20"/>
      <c r="E206" s="20"/>
      <c r="F206" s="20"/>
      <c r="G206" s="20"/>
      <c r="H206" s="20"/>
      <c r="I206" s="20"/>
      <c r="J206" s="20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2:24" x14ac:dyDescent="0.25">
      <c r="B207" s="19"/>
      <c r="C207" s="20"/>
      <c r="D207" s="20"/>
      <c r="E207" s="20"/>
      <c r="F207" s="20"/>
      <c r="G207" s="20"/>
      <c r="H207" s="20"/>
      <c r="I207" s="20"/>
      <c r="J207" s="20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2:24" x14ac:dyDescent="0.25">
      <c r="B208" s="19"/>
      <c r="C208" s="20"/>
      <c r="D208" s="20"/>
      <c r="E208" s="20"/>
      <c r="F208" s="20"/>
      <c r="G208" s="20"/>
      <c r="H208" s="20"/>
      <c r="I208" s="20"/>
      <c r="J208" s="20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2:24" x14ac:dyDescent="0.25">
      <c r="B209" s="19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2:24" x14ac:dyDescent="0.25">
      <c r="B210" s="19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2:24" x14ac:dyDescent="0.25">
      <c r="B211" s="19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2:24" x14ac:dyDescent="0.25">
      <c r="B212" s="19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2:24" x14ac:dyDescent="0.25">
      <c r="B213" s="19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2:24" x14ac:dyDescent="0.25">
      <c r="B214" s="19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2:24" x14ac:dyDescent="0.25">
      <c r="B215" s="19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2:24" x14ac:dyDescent="0.25">
      <c r="B216" s="19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2:24" x14ac:dyDescent="0.25">
      <c r="B217" s="19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2:24" x14ac:dyDescent="0.25">
      <c r="B218" s="19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2:24" x14ac:dyDescent="0.25">
      <c r="B219" s="19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2:24" x14ac:dyDescent="0.25">
      <c r="B220" s="19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2:24" x14ac:dyDescent="0.25">
      <c r="B221" s="19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2:24" x14ac:dyDescent="0.25">
      <c r="B222" s="19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2:24" x14ac:dyDescent="0.25">
      <c r="B223" s="19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2:24" x14ac:dyDescent="0.25">
      <c r="B224" s="19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2:24" x14ac:dyDescent="0.25">
      <c r="B225" s="19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2:24" x14ac:dyDescent="0.25">
      <c r="B226" s="19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2:24" x14ac:dyDescent="0.25">
      <c r="B227" s="19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2:24" x14ac:dyDescent="0.25">
      <c r="B228" s="19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2:24" x14ac:dyDescent="0.25">
      <c r="B229" s="19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2:24" x14ac:dyDescent="0.25">
      <c r="B230" s="19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2:24" x14ac:dyDescent="0.25">
      <c r="B231" s="19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2:24" x14ac:dyDescent="0.25">
      <c r="B232" s="19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2:24" x14ac:dyDescent="0.25">
      <c r="B233" s="19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2:24" x14ac:dyDescent="0.25">
      <c r="B234" s="19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2:24" x14ac:dyDescent="0.25">
      <c r="B235" s="19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2:24" x14ac:dyDescent="0.25">
      <c r="B236" s="19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2:24" x14ac:dyDescent="0.25">
      <c r="B237" s="19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2:24" x14ac:dyDescent="0.25">
      <c r="B238" s="19"/>
      <c r="C238" s="20"/>
      <c r="D238" s="20"/>
      <c r="E238" s="20"/>
      <c r="F238" s="20"/>
      <c r="G238" s="20"/>
      <c r="H238" s="20"/>
      <c r="I238" s="20"/>
      <c r="J238" s="20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2:24" x14ac:dyDescent="0.25">
      <c r="B239" s="19"/>
      <c r="C239" s="20"/>
      <c r="D239" s="20"/>
      <c r="E239" s="20"/>
      <c r="F239" s="20"/>
      <c r="G239" s="20"/>
      <c r="H239" s="20"/>
      <c r="I239" s="20"/>
      <c r="J239" s="20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2:24" x14ac:dyDescent="0.25">
      <c r="B240" s="19"/>
      <c r="C240" s="20"/>
      <c r="D240" s="20"/>
      <c r="E240" s="20"/>
      <c r="F240" s="20"/>
      <c r="G240" s="20"/>
      <c r="H240" s="20"/>
      <c r="I240" s="20"/>
      <c r="J240" s="20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2:24" x14ac:dyDescent="0.25">
      <c r="B241" s="19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2:24" x14ac:dyDescent="0.25">
      <c r="B242" s="19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2:24" x14ac:dyDescent="0.25">
      <c r="B243" s="19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2:24" x14ac:dyDescent="0.25">
      <c r="B244" s="19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2:24" x14ac:dyDescent="0.25">
      <c r="B245" s="19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2:24" x14ac:dyDescent="0.25">
      <c r="B246" s="19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2:24" x14ac:dyDescent="0.25">
      <c r="B247" s="19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2:24" x14ac:dyDescent="0.25">
      <c r="B248" s="19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2:24" x14ac:dyDescent="0.25">
      <c r="B249" s="19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2:24" x14ac:dyDescent="0.25">
      <c r="B250" s="19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2:24" x14ac:dyDescent="0.25">
      <c r="B251" s="19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2:24" x14ac:dyDescent="0.25">
      <c r="B252" s="19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2:24" x14ac:dyDescent="0.25">
      <c r="B253" s="19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2:24" x14ac:dyDescent="0.25">
      <c r="B254" s="19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2:24" x14ac:dyDescent="0.25">
      <c r="B255" s="19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2:24" x14ac:dyDescent="0.25">
      <c r="B256" s="19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2:24" x14ac:dyDescent="0.25">
      <c r="B257" s="19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2:24" x14ac:dyDescent="0.25">
      <c r="B258" s="19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2:24" x14ac:dyDescent="0.25">
      <c r="B259" s="19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2:24" x14ac:dyDescent="0.25">
      <c r="B260" s="19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2:24" x14ac:dyDescent="0.25">
      <c r="B261" s="19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2:24" x14ac:dyDescent="0.25">
      <c r="B262" s="19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2:24" x14ac:dyDescent="0.25">
      <c r="B263" s="19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2:24" x14ac:dyDescent="0.25">
      <c r="B264" s="19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2:24" x14ac:dyDescent="0.25">
      <c r="B265" s="19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2:24" x14ac:dyDescent="0.25">
      <c r="B266" s="19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2:24" x14ac:dyDescent="0.25">
      <c r="B267" s="19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2:24" x14ac:dyDescent="0.25">
      <c r="B268" s="19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2:24" x14ac:dyDescent="0.25">
      <c r="B269" s="19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2:24" x14ac:dyDescent="0.25">
      <c r="B270" s="19"/>
      <c r="C270" s="20"/>
      <c r="D270" s="20"/>
      <c r="E270" s="20"/>
      <c r="F270" s="20"/>
      <c r="G270" s="20"/>
      <c r="H270" s="20"/>
      <c r="I270" s="20"/>
      <c r="J270" s="20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2:24" x14ac:dyDescent="0.25">
      <c r="B271" s="19"/>
      <c r="C271" s="20"/>
      <c r="D271" s="20"/>
      <c r="E271" s="20"/>
      <c r="F271" s="20"/>
      <c r="G271" s="20"/>
      <c r="H271" s="20"/>
      <c r="I271" s="20"/>
      <c r="J271" s="20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2:24" x14ac:dyDescent="0.25">
      <c r="B272" s="19"/>
      <c r="C272" s="20"/>
      <c r="D272" s="20"/>
      <c r="E272" s="20"/>
      <c r="F272" s="20"/>
      <c r="G272" s="20"/>
      <c r="H272" s="20"/>
      <c r="I272" s="20"/>
      <c r="J272" s="20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2:24" x14ac:dyDescent="0.25">
      <c r="B273" s="19"/>
      <c r="C273" s="20"/>
      <c r="D273" s="20"/>
      <c r="E273" s="20"/>
      <c r="F273" s="20"/>
      <c r="G273" s="20"/>
      <c r="H273" s="20"/>
      <c r="I273" s="20"/>
      <c r="J273" s="20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spans="2:24" x14ac:dyDescent="0.25">
      <c r="B274" s="19"/>
      <c r="C274" s="20"/>
      <c r="D274" s="20"/>
      <c r="E274" s="20"/>
      <c r="F274" s="20"/>
      <c r="G274" s="20"/>
      <c r="H274" s="20"/>
      <c r="I274" s="20"/>
      <c r="J274" s="20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spans="2:24" x14ac:dyDescent="0.25">
      <c r="B275" s="19"/>
      <c r="C275" s="20"/>
      <c r="D275" s="20"/>
      <c r="E275" s="20"/>
      <c r="F275" s="20"/>
      <c r="G275" s="20"/>
      <c r="H275" s="20"/>
      <c r="I275" s="20"/>
      <c r="J275" s="20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spans="2:24" x14ac:dyDescent="0.25">
      <c r="B276" s="19"/>
      <c r="C276" s="20"/>
      <c r="D276" s="20"/>
      <c r="E276" s="20"/>
      <c r="F276" s="20"/>
      <c r="G276" s="20"/>
      <c r="H276" s="20"/>
      <c r="I276" s="20"/>
      <c r="J276" s="20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spans="2:24" x14ac:dyDescent="0.25">
      <c r="B277" s="19"/>
      <c r="C277" s="20"/>
      <c r="D277" s="20"/>
      <c r="E277" s="20"/>
      <c r="F277" s="20"/>
      <c r="G277" s="20"/>
      <c r="H277" s="20"/>
      <c r="I277" s="20"/>
      <c r="J277" s="20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spans="2:24" x14ac:dyDescent="0.25">
      <c r="B278" s="19"/>
      <c r="C278" s="20"/>
      <c r="D278" s="20"/>
      <c r="E278" s="20"/>
      <c r="F278" s="20"/>
      <c r="G278" s="20"/>
      <c r="H278" s="20"/>
      <c r="I278" s="20"/>
      <c r="J278" s="20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spans="2:24" x14ac:dyDescent="0.25">
      <c r="B279" s="19"/>
      <c r="C279" s="20"/>
      <c r="D279" s="20"/>
      <c r="E279" s="20"/>
      <c r="F279" s="20"/>
      <c r="G279" s="20"/>
      <c r="H279" s="20"/>
      <c r="I279" s="20"/>
      <c r="J279" s="20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spans="2:24" x14ac:dyDescent="0.25">
      <c r="B280" s="19"/>
      <c r="C280" s="20"/>
      <c r="D280" s="20"/>
      <c r="E280" s="20"/>
      <c r="F280" s="20"/>
      <c r="G280" s="20"/>
      <c r="H280" s="20"/>
      <c r="I280" s="20"/>
      <c r="J280" s="20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spans="2:24" x14ac:dyDescent="0.25">
      <c r="B281" s="19"/>
      <c r="C281" s="20"/>
      <c r="D281" s="20"/>
      <c r="E281" s="20"/>
      <c r="F281" s="20"/>
      <c r="G281" s="20"/>
      <c r="H281" s="20"/>
      <c r="I281" s="20"/>
      <c r="J281" s="20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spans="2:24" x14ac:dyDescent="0.25">
      <c r="B282" s="19"/>
      <c r="C282" s="20"/>
      <c r="D282" s="20"/>
      <c r="E282" s="20"/>
      <c r="F282" s="20"/>
      <c r="G282" s="20"/>
      <c r="H282" s="20"/>
      <c r="I282" s="20"/>
      <c r="J282" s="20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spans="2:24" x14ac:dyDescent="0.25">
      <c r="B283" s="19"/>
      <c r="C283" s="20"/>
      <c r="D283" s="20"/>
      <c r="E283" s="20"/>
      <c r="F283" s="20"/>
      <c r="G283" s="20"/>
      <c r="H283" s="20"/>
      <c r="I283" s="20"/>
      <c r="J283" s="20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spans="2:24" x14ac:dyDescent="0.25">
      <c r="B284" s="19"/>
      <c r="C284" s="20"/>
      <c r="D284" s="20"/>
      <c r="E284" s="20"/>
      <c r="F284" s="20"/>
      <c r="G284" s="20"/>
      <c r="H284" s="20"/>
      <c r="I284" s="20"/>
      <c r="J284" s="20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spans="2:24" x14ac:dyDescent="0.25">
      <c r="B285" s="19"/>
      <c r="C285" s="20"/>
      <c r="D285" s="20"/>
      <c r="E285" s="20"/>
      <c r="F285" s="20"/>
      <c r="G285" s="20"/>
      <c r="H285" s="20"/>
      <c r="I285" s="20"/>
      <c r="J285" s="20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</sheetData>
  <mergeCells count="18">
    <mergeCell ref="B2:B3"/>
    <mergeCell ref="C2:C3"/>
    <mergeCell ref="D2:D3"/>
    <mergeCell ref="E2:E3"/>
    <mergeCell ref="F2:F3"/>
    <mergeCell ref="B26:B27"/>
    <mergeCell ref="C26:C27"/>
    <mergeCell ref="D26:D27"/>
    <mergeCell ref="E26:E27"/>
    <mergeCell ref="F26:F27"/>
    <mergeCell ref="I26:I27"/>
    <mergeCell ref="J26:J27"/>
    <mergeCell ref="G2:G3"/>
    <mergeCell ref="I2:I3"/>
    <mergeCell ref="J2:J3"/>
    <mergeCell ref="H26:H27"/>
    <mergeCell ref="G26:G27"/>
    <mergeCell ref="H2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73"/>
  <sheetViews>
    <sheetView showGridLines="0" workbookViewId="0">
      <selection activeCell="L8" sqref="L8"/>
    </sheetView>
  </sheetViews>
  <sheetFormatPr defaultRowHeight="15" x14ac:dyDescent="0.25"/>
  <cols>
    <col min="1" max="1" width="2.42578125" customWidth="1"/>
    <col min="2" max="2" width="14.7109375" style="3" customWidth="1"/>
    <col min="3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17" ht="15.75" thickBot="1" x14ac:dyDescent="0.3">
      <c r="I1" s="29"/>
    </row>
    <row r="2" spans="1:17" ht="15" customHeight="1" x14ac:dyDescent="0.25">
      <c r="B2" s="158" t="s">
        <v>20</v>
      </c>
      <c r="C2" s="138" t="s">
        <v>40</v>
      </c>
      <c r="D2" s="138" t="s">
        <v>52</v>
      </c>
      <c r="E2" s="138" t="s">
        <v>38</v>
      </c>
      <c r="F2" s="140" t="s">
        <v>21</v>
      </c>
      <c r="G2" s="179"/>
      <c r="H2" s="179"/>
      <c r="I2" s="179"/>
      <c r="J2" s="179"/>
    </row>
    <row r="3" spans="1:17" ht="15.75" customHeight="1" thickBot="1" x14ac:dyDescent="0.3">
      <c r="B3" s="159"/>
      <c r="C3" s="139"/>
      <c r="D3" s="139"/>
      <c r="E3" s="139"/>
      <c r="F3" s="141"/>
      <c r="G3" s="179"/>
      <c r="H3" s="179"/>
      <c r="I3" s="179"/>
      <c r="J3" s="179"/>
    </row>
    <row r="4" spans="1:17" x14ac:dyDescent="0.25">
      <c r="A4" s="23"/>
      <c r="B4" s="59">
        <v>44927</v>
      </c>
      <c r="C4" s="18">
        <f>SUMIFS('Raw Data'!$I$5:$I$499,'Raw Data'!$F$5:$F$499,"&gt;="&amp;$B4,'Raw Data'!$F$5:$F$499,"&lt;="&amp;EOMONTH($B4,0))</f>
        <v>0</v>
      </c>
      <c r="D4" s="28">
        <f>COUNTIFS('Raw Data'!$F$5:$F$499,"&gt;="&amp;$B4,'Raw Data'!$F$5:$F$499,"&lt;="&amp;EOMONTH($B4,0))</f>
        <v>0</v>
      </c>
      <c r="E4" s="18">
        <f>IF(C4,SUMIFS('Raw Data'!$I$5:$I$499,'Raw Data'!$F$5:$F$499,"&gt;="&amp;$B4,'Raw Data'!$F$5:$F$499,"&lt;="&amp;EOMONTH($B4,0))/COUNTIFS('Raw Data'!$F$5:$F$499,"&gt;="&amp;$B4,'Raw Data'!$F$5:$F$499,"&lt;="&amp;EOMONTH($B4,0)),0)</f>
        <v>0</v>
      </c>
      <c r="F4" s="61" t="str">
        <f>IF(D4,SUMIFS('Raw Data'!$K$5:$K$499,'Raw Data'!$F$5:$F$499,"&gt;="&amp;$B4,'Raw Data'!$F$5:$F$499,"&lt;="&amp;EOMONTH($B4,0))/COUNTIFS('Raw Data'!$F$5:$F$499,"&gt;="&amp;$B4,'Raw Data'!$F$5:$F$499,"&lt;="&amp;EOMONTH($B4,0)),"NA")</f>
        <v>NA</v>
      </c>
      <c r="G4" s="46"/>
      <c r="H4" s="45"/>
      <c r="I4" s="45"/>
      <c r="J4" s="45"/>
    </row>
    <row r="5" spans="1:17" x14ac:dyDescent="0.25">
      <c r="A5" s="23"/>
      <c r="B5" s="58">
        <v>44958</v>
      </c>
      <c r="C5" s="17">
        <f>SUMIFS('Raw Data'!$I$5:$I$499,'Raw Data'!$F$5:$F$499,"&gt;="&amp;$B5,'Raw Data'!$F$5:$F$499,"&lt;="&amp;EOMONTH($B5,0))</f>
        <v>0</v>
      </c>
      <c r="D5" s="28">
        <f>COUNTIFS('Raw Data'!$F$5:$F$499,"&gt;="&amp;$B5,'Raw Data'!$F$5:$F$499,"&lt;="&amp;EOMONTH($B5,0))</f>
        <v>0</v>
      </c>
      <c r="E5" s="18">
        <f>IF(C5,SUMIFS('Raw Data'!$I$5:$I$499,'Raw Data'!$F$5:$F$499,"&gt;="&amp;$B5,'Raw Data'!$F$5:$F$499,"&lt;="&amp;EOMONTH($B5,0))/COUNTIFS('Raw Data'!$F$5:$F$499,"&gt;="&amp;$B5,'Raw Data'!$F$5:$F$499,"&lt;="&amp;EOMONTH($B5,0)),0)</f>
        <v>0</v>
      </c>
      <c r="F5" s="61" t="str">
        <f>IF(D5,SUMIFS('Raw Data'!$K$5:$K$499,'Raw Data'!$F$5:$F$499,"&gt;="&amp;$B5,'Raw Data'!$F$5:$F$499,"&lt;="&amp;EOMONTH($B5,0))/COUNTIFS('Raw Data'!$F$5:$F$499,"&gt;="&amp;$B5,'Raw Data'!$F$5:$F$499,"&lt;="&amp;EOMONTH($B5,0)),"NA")</f>
        <v>NA</v>
      </c>
      <c r="G5" s="46"/>
      <c r="H5" s="45"/>
      <c r="I5" s="45"/>
      <c r="J5" s="45"/>
    </row>
    <row r="6" spans="1:17" x14ac:dyDescent="0.25">
      <c r="A6" s="23"/>
      <c r="B6" s="58">
        <v>44986</v>
      </c>
      <c r="C6" s="17">
        <f>SUMIFS('Raw Data'!$I$5:$I$499,'Raw Data'!$F$5:$F$499,"&gt;="&amp;$B6,'Raw Data'!$F$5:$F$499,"&lt;="&amp;EOMONTH($B6,0))</f>
        <v>0</v>
      </c>
      <c r="D6" s="28">
        <f>COUNTIFS('Raw Data'!$F$5:$F$499,"&gt;="&amp;$B6,'Raw Data'!$F$5:$F$499,"&lt;="&amp;EOMONTH($B6,0))</f>
        <v>0</v>
      </c>
      <c r="E6" s="18">
        <f>IF(C6,SUMIFS('Raw Data'!$I$5:$I$499,'Raw Data'!$F$5:$F$499,"&gt;="&amp;$B6,'Raw Data'!$F$5:$F$499,"&lt;="&amp;EOMONTH($B6,0))/COUNTIFS('Raw Data'!$F$5:$F$499,"&gt;="&amp;$B6,'Raw Data'!$F$5:$F$499,"&lt;="&amp;EOMONTH($B6,0)),0)</f>
        <v>0</v>
      </c>
      <c r="F6" s="61" t="str">
        <f>IF(D6,SUMIFS('Raw Data'!$K$5:$K$499,'Raw Data'!$F$5:$F$499,"&gt;="&amp;$B6,'Raw Data'!$F$5:$F$499,"&lt;="&amp;EOMONTH($B6,0))/COUNTIFS('Raw Data'!$F$5:$F$499,"&gt;="&amp;$B6,'Raw Data'!$F$5:$F$499,"&lt;="&amp;EOMONTH($B6,0)),"NA")</f>
        <v>NA</v>
      </c>
      <c r="G6" s="46"/>
      <c r="H6" s="45"/>
      <c r="I6" s="45"/>
      <c r="J6" s="45"/>
      <c r="M6" s="72"/>
    </row>
    <row r="7" spans="1:17" x14ac:dyDescent="0.25">
      <c r="A7" s="23"/>
      <c r="B7" s="59">
        <v>45017</v>
      </c>
      <c r="C7" s="17">
        <f>SUMIFS('Raw Data'!$I$5:$I$499,'Raw Data'!$F$5:$F$499,"&gt;="&amp;$B7,'Raw Data'!$F$5:$F$499,"&lt;="&amp;EOMONTH($B7,0))</f>
        <v>0</v>
      </c>
      <c r="D7" s="28">
        <f>COUNTIFS('Raw Data'!$F$5:$F$499,"&gt;="&amp;$B7,'Raw Data'!$F$5:$F$499,"&lt;="&amp;EOMONTH($B7,0))</f>
        <v>0</v>
      </c>
      <c r="E7" s="18">
        <f>IF(C7,SUMIFS('Raw Data'!$I$5:$I$499,'Raw Data'!$F$5:$F$499,"&gt;="&amp;$B7,'Raw Data'!$F$5:$F$499,"&lt;="&amp;EOMONTH($B7,0))/COUNTIFS('Raw Data'!$F$5:$F$499,"&gt;="&amp;$B7,'Raw Data'!$F$5:$F$499,"&lt;="&amp;EOMONTH($B7,0)),0)</f>
        <v>0</v>
      </c>
      <c r="F7" s="61" t="str">
        <f>IF(D7,SUMIFS('Raw Data'!$K$5:$K$499,'Raw Data'!$F$5:$F$499,"&gt;="&amp;$B7,'Raw Data'!$F$5:$F$499,"&lt;="&amp;EOMONTH($B7,0))/COUNTIFS('Raw Data'!$F$5:$F$499,"&gt;="&amp;$B7,'Raw Data'!$F$5:$F$499,"&lt;="&amp;EOMONTH($B7,0)),"NA")</f>
        <v>NA</v>
      </c>
      <c r="G7" s="46"/>
      <c r="H7" s="45"/>
      <c r="I7" s="45"/>
      <c r="J7" s="45"/>
    </row>
    <row r="8" spans="1:17" x14ac:dyDescent="0.25">
      <c r="A8" s="23"/>
      <c r="B8" s="58">
        <v>45047</v>
      </c>
      <c r="C8" s="17">
        <f>SUMIFS('Raw Data'!$I$5:$I$499,'Raw Data'!$F$5:$F$499,"&gt;="&amp;$B8,'Raw Data'!$F$5:$F$499,"&lt;="&amp;EOMONTH($B8,0))</f>
        <v>0</v>
      </c>
      <c r="D8" s="28">
        <f>COUNTIFS('Raw Data'!$F$5:$F$499,"&gt;="&amp;$B8,'Raw Data'!$F$5:$F$499,"&lt;="&amp;EOMONTH($B8,0))</f>
        <v>0</v>
      </c>
      <c r="E8" s="18">
        <f>IF(C8,SUMIFS('Raw Data'!$I$5:$I$499,'Raw Data'!$F$5:$F$499,"&gt;="&amp;$B8,'Raw Data'!$F$5:$F$499,"&lt;="&amp;EOMONTH($B8,0))/COUNTIFS('Raw Data'!$F$5:$F$499,"&gt;="&amp;$B8,'Raw Data'!$F$5:$F$499,"&lt;="&amp;EOMONTH($B8,0)),0)</f>
        <v>0</v>
      </c>
      <c r="F8" s="61" t="str">
        <f>IF(D8,SUMIFS('Raw Data'!$K$5:$K$499,'Raw Data'!$F$5:$F$499,"&gt;="&amp;$B8,'Raw Data'!$F$5:$F$499,"&lt;="&amp;EOMONTH($B8,0))/COUNTIFS('Raw Data'!$F$5:$F$499,"&gt;="&amp;$B8,'Raw Data'!$F$5:$F$499,"&lt;="&amp;EOMONTH($B8,0)),"NA")</f>
        <v>NA</v>
      </c>
      <c r="G8" s="46"/>
      <c r="H8" s="45"/>
      <c r="I8" s="45"/>
      <c r="J8" s="45"/>
      <c r="Q8" s="2"/>
    </row>
    <row r="9" spans="1:17" x14ac:dyDescent="0.25">
      <c r="A9" s="23"/>
      <c r="B9" s="59">
        <v>45078</v>
      </c>
      <c r="C9" s="17">
        <f>SUMIFS('Raw Data'!$I$5:$I$499,'Raw Data'!$F$5:$F$499,"&gt;="&amp;$B9,'Raw Data'!$F$5:$F$499,"&lt;="&amp;EOMONTH($B9,0))</f>
        <v>0</v>
      </c>
      <c r="D9" s="28">
        <f>COUNTIFS('Raw Data'!$F$5:$F$499,"&gt;="&amp;$B9,'Raw Data'!$F$5:$F$499,"&lt;="&amp;EOMONTH($B9,0))</f>
        <v>0</v>
      </c>
      <c r="E9" s="18">
        <f>IF(C9,SUMIFS('Raw Data'!$I$5:$I$499,'Raw Data'!$F$5:$F$499,"&gt;="&amp;$B9,'Raw Data'!$F$5:$F$499,"&lt;="&amp;EOMONTH($B9,0))/COUNTIFS('Raw Data'!$F$5:$F$499,"&gt;="&amp;$B9,'Raw Data'!$F$5:$F$499,"&lt;="&amp;EOMONTH($B9,0)),0)</f>
        <v>0</v>
      </c>
      <c r="F9" s="61" t="str">
        <f>IF(D9,SUMIFS('Raw Data'!$K$5:$K$499,'Raw Data'!$F$5:$F$499,"&gt;="&amp;$B9,'Raw Data'!$F$5:$F$499,"&lt;="&amp;EOMONTH($B9,0))/COUNTIFS('Raw Data'!$F$5:$F$499,"&gt;="&amp;$B9,'Raw Data'!$F$5:$F$499,"&lt;="&amp;EOMONTH($B9,0)),"NA")</f>
        <v>NA</v>
      </c>
      <c r="G9" s="46"/>
      <c r="H9" s="45"/>
      <c r="I9" s="45"/>
      <c r="J9" s="45"/>
    </row>
    <row r="10" spans="1:17" x14ac:dyDescent="0.25">
      <c r="A10" s="23"/>
      <c r="B10" s="58">
        <v>45108</v>
      </c>
      <c r="C10" s="17">
        <f>SUMIFS('Raw Data'!$I$5:$I$499,'Raw Data'!$F$5:$F$499,"&gt;="&amp;$B10,'Raw Data'!$F$5:$F$499,"&lt;="&amp;EOMONTH($B10,0))</f>
        <v>0</v>
      </c>
      <c r="D10" s="28">
        <f>COUNTIFS('Raw Data'!$F$5:$F$499,"&gt;="&amp;$B10,'Raw Data'!$F$5:$F$499,"&lt;="&amp;EOMONTH($B10,0))</f>
        <v>0</v>
      </c>
      <c r="E10" s="18">
        <f>IF(C10,SUMIFS('Raw Data'!$I$5:$I$499,'Raw Data'!$F$5:$F$499,"&gt;="&amp;$B10,'Raw Data'!$F$5:$F$499,"&lt;="&amp;EOMONTH($B10,0))/COUNTIFS('Raw Data'!$F$5:$F$499,"&gt;="&amp;$B10,'Raw Data'!$F$5:$F$499,"&lt;="&amp;EOMONTH($B10,0)),0)</f>
        <v>0</v>
      </c>
      <c r="F10" s="61" t="str">
        <f>IF(D10,SUMIFS('Raw Data'!$K$5:$K$499,'Raw Data'!$F$5:$F$499,"&gt;="&amp;$B10,'Raw Data'!$F$5:$F$499,"&lt;="&amp;EOMONTH($B10,0))/COUNTIFS('Raw Data'!$F$5:$F$499,"&gt;="&amp;$B10,'Raw Data'!$F$5:$F$499,"&lt;="&amp;EOMONTH($B10,0)),"NA")</f>
        <v>NA</v>
      </c>
      <c r="G10" s="46"/>
      <c r="H10" s="45"/>
      <c r="I10" s="45"/>
      <c r="J10" s="45"/>
    </row>
    <row r="11" spans="1:17" x14ac:dyDescent="0.25">
      <c r="A11" s="23"/>
      <c r="B11" s="58">
        <v>45139</v>
      </c>
      <c r="C11" s="17">
        <f>SUMIFS('Raw Data'!$I$5:$I$499,'Raw Data'!$F$5:$F$499,"&gt;="&amp;$B11,'Raw Data'!$F$5:$F$499,"&lt;="&amp;EOMONTH($B11,0))</f>
        <v>0</v>
      </c>
      <c r="D11" s="28">
        <f>COUNTIFS('Raw Data'!$F$5:$F$499,"&gt;="&amp;$B11,'Raw Data'!$F$5:$F$499,"&lt;="&amp;EOMONTH($B11,0))</f>
        <v>0</v>
      </c>
      <c r="E11" s="18">
        <f>IF(C11,SUMIFS('Raw Data'!$I$5:$I$499,'Raw Data'!$F$5:$F$499,"&gt;="&amp;$B11,'Raw Data'!$F$5:$F$499,"&lt;="&amp;EOMONTH($B11,0))/COUNTIFS('Raw Data'!$F$5:$F$499,"&gt;="&amp;$B11,'Raw Data'!$F$5:$F$499,"&lt;="&amp;EOMONTH($B11,0)),0)</f>
        <v>0</v>
      </c>
      <c r="F11" s="61" t="str">
        <f>IF(D11,SUMIFS('Raw Data'!$K$5:$K$499,'Raw Data'!$F$5:$F$499,"&gt;="&amp;$B11,'Raw Data'!$F$5:$F$499,"&lt;="&amp;EOMONTH($B11,0))/COUNTIFS('Raw Data'!$F$5:$F$499,"&gt;="&amp;$B11,'Raw Data'!$F$5:$F$499,"&lt;="&amp;EOMONTH($B11,0)),"NA")</f>
        <v>NA</v>
      </c>
      <c r="G11" s="46"/>
      <c r="H11" s="45"/>
      <c r="I11" s="45"/>
      <c r="J11" s="45"/>
    </row>
    <row r="12" spans="1:17" x14ac:dyDescent="0.25">
      <c r="A12" s="23"/>
      <c r="B12" s="59">
        <v>45170</v>
      </c>
      <c r="C12" s="17">
        <f>SUMIFS('Raw Data'!$I$5:$I$499,'Raw Data'!$F$5:$F$499,"&gt;="&amp;$B12,'Raw Data'!$F$5:$F$499,"&lt;="&amp;EOMONTH($B12,0))</f>
        <v>0</v>
      </c>
      <c r="D12" s="28">
        <f>COUNTIFS('Raw Data'!$F$5:$F$499,"&gt;="&amp;$B12,'Raw Data'!$F$5:$F$499,"&lt;="&amp;EOMONTH($B12,0))</f>
        <v>0</v>
      </c>
      <c r="E12" s="18">
        <f>IF(C12,SUMIFS('Raw Data'!$I$5:$I$499,'Raw Data'!$F$5:$F$499,"&gt;="&amp;$B12,'Raw Data'!$F$5:$F$499,"&lt;="&amp;EOMONTH($B12,0))/COUNTIFS('Raw Data'!$F$5:$F$499,"&gt;="&amp;$B12,'Raw Data'!$F$5:$F$499,"&lt;="&amp;EOMONTH($B12,0)),0)</f>
        <v>0</v>
      </c>
      <c r="F12" s="61" t="str">
        <f>IF(D12,SUMIFS('Raw Data'!$K$5:$K$499,'Raw Data'!$F$5:$F$499,"&gt;="&amp;$B12,'Raw Data'!$F$5:$F$499,"&lt;="&amp;EOMONTH($B12,0))/COUNTIFS('Raw Data'!$F$5:$F$499,"&gt;="&amp;$B12,'Raw Data'!$F$5:$F$499,"&lt;="&amp;EOMONTH($B12,0)),"NA")</f>
        <v>NA</v>
      </c>
      <c r="G12" s="46"/>
      <c r="H12" s="45"/>
      <c r="I12" s="45"/>
      <c r="J12" s="45"/>
    </row>
    <row r="13" spans="1:17" x14ac:dyDescent="0.25">
      <c r="A13" s="23"/>
      <c r="B13" s="58">
        <v>45200</v>
      </c>
      <c r="C13" s="17">
        <f>SUMIFS('Raw Data'!$I$5:$I$499,'Raw Data'!$F$5:$F$499,"&gt;="&amp;$B13,'Raw Data'!$F$5:$F$499,"&lt;="&amp;EOMONTH($B13,0))</f>
        <v>0</v>
      </c>
      <c r="D13" s="28">
        <f>COUNTIFS('Raw Data'!$F$5:$F$499,"&gt;="&amp;$B13,'Raw Data'!$F$5:$F$499,"&lt;="&amp;EOMONTH($B13,0))</f>
        <v>0</v>
      </c>
      <c r="E13" s="18">
        <f>IF(C13,SUMIFS('Raw Data'!$I$5:$I$499,'Raw Data'!$F$5:$F$499,"&gt;="&amp;$B13,'Raw Data'!$F$5:$F$499,"&lt;="&amp;EOMONTH($B13,0))/COUNTIFS('Raw Data'!$F$5:$F$499,"&gt;="&amp;$B13,'Raw Data'!$F$5:$F$499,"&lt;="&amp;EOMONTH($B13,0)),0)</f>
        <v>0</v>
      </c>
      <c r="F13" s="61" t="str">
        <f>IF(D13,SUMIFS('Raw Data'!$K$5:$K$499,'Raw Data'!$F$5:$F$499,"&gt;="&amp;$B13,'Raw Data'!$F$5:$F$499,"&lt;="&amp;EOMONTH($B13,0))/COUNTIFS('Raw Data'!$F$5:$F$499,"&gt;="&amp;$B13,'Raw Data'!$F$5:$F$499,"&lt;="&amp;EOMONTH($B13,0)),"NA")</f>
        <v>NA</v>
      </c>
      <c r="G13" s="46"/>
      <c r="H13" s="45"/>
      <c r="I13" s="45"/>
      <c r="J13" s="45"/>
      <c r="Q13" s="2"/>
    </row>
    <row r="14" spans="1:17" x14ac:dyDescent="0.25">
      <c r="A14" s="23"/>
      <c r="B14" s="59">
        <v>45231</v>
      </c>
      <c r="C14" s="17">
        <f>SUMIFS('Raw Data'!$I$5:$I$499,'Raw Data'!$F$5:$F$499,"&gt;="&amp;$B14,'Raw Data'!$F$5:$F$499,"&lt;="&amp;EOMONTH($B14,0))</f>
        <v>0</v>
      </c>
      <c r="D14" s="28">
        <f>COUNTIFS('Raw Data'!$F$5:$F$499,"&gt;="&amp;$B14,'Raw Data'!$F$5:$F$499,"&lt;="&amp;EOMONTH($B14,0))</f>
        <v>0</v>
      </c>
      <c r="E14" s="18">
        <f>IF(C14,SUMIFS('Raw Data'!$I$5:$I$499,'Raw Data'!$F$5:$F$499,"&gt;="&amp;$B14,'Raw Data'!$F$5:$F$499,"&lt;="&amp;EOMONTH($B14,0))/COUNTIFS('Raw Data'!$F$5:$F$499,"&gt;="&amp;$B14,'Raw Data'!$F$5:$F$499,"&lt;="&amp;EOMONTH($B14,0)),0)</f>
        <v>0</v>
      </c>
      <c r="F14" s="61" t="str">
        <f>IF(D14,SUMIFS('Raw Data'!$K$5:$K$499,'Raw Data'!$F$5:$F$499,"&gt;="&amp;$B14,'Raw Data'!$F$5:$F$499,"&lt;="&amp;EOMONTH($B14,0))/COUNTIFS('Raw Data'!$F$5:$F$499,"&gt;="&amp;$B14,'Raw Data'!$F$5:$F$499,"&lt;="&amp;EOMONTH($B14,0)),"NA")</f>
        <v>NA</v>
      </c>
      <c r="G14" s="46"/>
      <c r="H14" s="45"/>
      <c r="I14" s="45"/>
      <c r="J14" s="45"/>
    </row>
    <row r="15" spans="1:17" ht="15.75" thickBot="1" x14ac:dyDescent="0.3">
      <c r="A15" s="23"/>
      <c r="B15" s="60">
        <v>45261</v>
      </c>
      <c r="C15" s="49">
        <f>SUMIFS('Raw Data'!$I$5:$I$499,'Raw Data'!$F$5:$F$499,"&gt;="&amp;$B15,'Raw Data'!$F$5:$F$499,"&lt;="&amp;EOMONTH($B15,0))</f>
        <v>0</v>
      </c>
      <c r="D15" s="28">
        <f>COUNTIFS('Raw Data'!$F$5:$F$499,"&gt;="&amp;$B15,'Raw Data'!$F$5:$F$499,"&lt;="&amp;EOMONTH($B15,0))</f>
        <v>0</v>
      </c>
      <c r="E15" s="18">
        <f>IF(C15,SUMIFS('Raw Data'!$I$5:$I$499,'Raw Data'!$F$5:$F$499,"&gt;="&amp;$B15,'Raw Data'!$F$5:$F$499,"&lt;="&amp;EOMONTH($B15,0))/COUNTIFS('Raw Data'!$F$5:$F$499,"&gt;="&amp;$B15,'Raw Data'!$F$5:$F$499,"&lt;="&amp;EOMONTH($B15,0)),0)</f>
        <v>0</v>
      </c>
      <c r="F15" s="61" t="str">
        <f>IF(D15,SUMIFS('Raw Data'!$K$5:$K$499,'Raw Data'!$F$5:$F$499,"&gt;="&amp;$B15,'Raw Data'!$F$5:$F$499,"&lt;="&amp;EOMONTH($B15,0))/COUNTIFS('Raw Data'!$F$5:$F$499,"&gt;="&amp;$B15,'Raw Data'!$F$5:$F$499,"&lt;="&amp;EOMONTH($B15,0)),"NA")</f>
        <v>NA</v>
      </c>
      <c r="G15" s="46"/>
      <c r="H15" s="45"/>
      <c r="I15" s="45"/>
      <c r="J15" s="45"/>
    </row>
    <row r="16" spans="1:17" ht="15.75" customHeight="1" x14ac:dyDescent="0.25">
      <c r="B16" s="158"/>
      <c r="C16" s="172">
        <f>SUM(C4:C15)</f>
        <v>0</v>
      </c>
      <c r="D16" s="176">
        <f>SUM(D4:D15)</f>
        <v>0</v>
      </c>
      <c r="E16" s="172" t="e">
        <f>C16/D16</f>
        <v>#DIV/0!</v>
      </c>
      <c r="F16" s="181">
        <f>'Raw Data'!K3</f>
        <v>0.56519508295759135</v>
      </c>
      <c r="G16" s="180"/>
      <c r="H16" s="178"/>
      <c r="I16" s="178"/>
      <c r="J16" s="178"/>
    </row>
    <row r="17" spans="2:23" ht="15.75" customHeight="1" thickBot="1" x14ac:dyDescent="0.3">
      <c r="B17" s="159"/>
      <c r="C17" s="173"/>
      <c r="D17" s="177"/>
      <c r="E17" s="173"/>
      <c r="F17" s="182"/>
      <c r="G17" s="180"/>
      <c r="H17" s="178"/>
      <c r="I17" s="178"/>
      <c r="J17" s="178"/>
    </row>
    <row r="18" spans="2:23" ht="15.75" thickBot="1" x14ac:dyDescent="0.3">
      <c r="B18" s="19"/>
      <c r="C18" s="20"/>
      <c r="D18" s="20"/>
      <c r="E18" s="20"/>
      <c r="F18" s="20"/>
      <c r="G18" s="20"/>
      <c r="H18" s="20"/>
      <c r="I18" s="20"/>
      <c r="J18" s="20"/>
    </row>
    <row r="19" spans="2:23" x14ac:dyDescent="0.25">
      <c r="B19" s="30"/>
      <c r="C19" s="31"/>
      <c r="D19" s="31"/>
      <c r="E19" s="31"/>
      <c r="F19" s="31"/>
      <c r="G19" s="31"/>
      <c r="H19" s="31"/>
      <c r="I19" s="31"/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3"/>
    </row>
    <row r="20" spans="2:23" x14ac:dyDescent="0.25">
      <c r="B20" s="34"/>
      <c r="C20" s="21"/>
      <c r="D20" s="21"/>
      <c r="E20" s="21"/>
      <c r="F20" s="21"/>
      <c r="G20" s="21"/>
      <c r="H20" s="21"/>
      <c r="I20" s="21"/>
      <c r="J20" s="21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6"/>
    </row>
    <row r="21" spans="2:23" x14ac:dyDescent="0.25">
      <c r="B21" s="34"/>
      <c r="C21" s="21"/>
      <c r="D21" s="21"/>
      <c r="E21" s="21"/>
      <c r="F21" s="21"/>
      <c r="G21" s="21"/>
      <c r="H21" s="21"/>
      <c r="I21" s="21"/>
      <c r="J21" s="21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6"/>
    </row>
    <row r="22" spans="2:23" x14ac:dyDescent="0.25">
      <c r="B22" s="34"/>
      <c r="C22" s="21"/>
      <c r="D22" s="21"/>
      <c r="E22" s="21"/>
      <c r="F22" s="21"/>
      <c r="G22" s="21"/>
      <c r="H22" s="21"/>
      <c r="I22" s="21"/>
      <c r="J22" s="21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6"/>
    </row>
    <row r="23" spans="2:23" x14ac:dyDescent="0.25">
      <c r="B23" s="34"/>
      <c r="C23" s="21"/>
      <c r="D23" s="21"/>
      <c r="E23" s="21"/>
      <c r="F23" s="21"/>
      <c r="G23" s="21"/>
      <c r="H23" s="21"/>
      <c r="I23" s="21"/>
      <c r="J23" s="21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6"/>
    </row>
    <row r="24" spans="2:23" x14ac:dyDescent="0.25">
      <c r="B24" s="34"/>
      <c r="C24" s="21"/>
      <c r="D24" s="21"/>
      <c r="E24" s="21"/>
      <c r="F24" s="21"/>
      <c r="G24" s="21"/>
      <c r="H24" s="21"/>
      <c r="I24" s="21"/>
      <c r="J24" s="21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</row>
    <row r="25" spans="2:23" x14ac:dyDescent="0.25">
      <c r="B25" s="34"/>
      <c r="C25" s="21"/>
      <c r="D25" s="21"/>
      <c r="E25" s="21"/>
      <c r="F25" s="21"/>
      <c r="G25" s="21"/>
      <c r="H25" s="21"/>
      <c r="I25" s="21"/>
      <c r="J25" s="21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6"/>
    </row>
    <row r="26" spans="2:23" x14ac:dyDescent="0.25">
      <c r="B26" s="34"/>
      <c r="C26" s="21"/>
      <c r="D26" s="21"/>
      <c r="E26" s="21"/>
      <c r="F26" s="21"/>
      <c r="G26" s="21"/>
      <c r="H26" s="21"/>
      <c r="I26" s="21"/>
      <c r="J26" s="21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6"/>
    </row>
    <row r="27" spans="2:23" x14ac:dyDescent="0.25">
      <c r="B27" s="34"/>
      <c r="C27" s="21"/>
      <c r="D27" s="21"/>
      <c r="E27" s="21"/>
      <c r="F27" s="21"/>
      <c r="G27" s="21"/>
      <c r="H27" s="21"/>
      <c r="I27" s="21"/>
      <c r="J27" s="21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</row>
    <row r="28" spans="2:23" x14ac:dyDescent="0.25">
      <c r="B28" s="34"/>
      <c r="C28" s="21"/>
      <c r="D28" s="21"/>
      <c r="E28" s="21"/>
      <c r="F28" s="21"/>
      <c r="G28" s="21"/>
      <c r="H28" s="21"/>
      <c r="I28" s="21"/>
      <c r="J28" s="21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6"/>
    </row>
    <row r="29" spans="2:23" x14ac:dyDescent="0.25">
      <c r="B29" s="34"/>
      <c r="C29" s="21"/>
      <c r="D29" s="21"/>
      <c r="E29" s="21"/>
      <c r="F29" s="21"/>
      <c r="G29" s="21"/>
      <c r="H29" s="21"/>
      <c r="I29" s="21"/>
      <c r="J29" s="21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</row>
    <row r="30" spans="2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2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2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4"/>
      <c r="C35" s="21"/>
      <c r="D35" s="21"/>
      <c r="E35" s="21"/>
      <c r="F35" s="21"/>
      <c r="G35" s="21"/>
      <c r="H35" s="21"/>
      <c r="I35" s="21"/>
      <c r="J35" s="21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4"/>
      <c r="C36" s="21"/>
      <c r="D36" s="21"/>
      <c r="E36" s="21"/>
      <c r="F36" s="21"/>
      <c r="G36" s="21"/>
      <c r="H36" s="21"/>
      <c r="I36" s="21"/>
      <c r="J36" s="21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4"/>
      <c r="C37" s="21"/>
      <c r="D37" s="21"/>
      <c r="E37" s="21"/>
      <c r="F37" s="21"/>
      <c r="G37" s="21"/>
      <c r="H37" s="21"/>
      <c r="I37" s="21"/>
      <c r="J37" s="21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7"/>
      <c r="C38" s="20"/>
      <c r="D38" s="20"/>
      <c r="E38" s="20"/>
      <c r="F38" s="20"/>
      <c r="G38" s="20"/>
      <c r="H38" s="20"/>
      <c r="I38" s="20"/>
      <c r="J38" s="2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7"/>
      <c r="C39" s="20"/>
      <c r="D39" s="20"/>
      <c r="E39" s="20"/>
      <c r="F39" s="20"/>
      <c r="G39" s="20"/>
      <c r="H39" s="20"/>
      <c r="I39" s="20"/>
      <c r="J39" s="2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7"/>
      <c r="C40" s="20"/>
      <c r="D40" s="20"/>
      <c r="E40" s="20"/>
      <c r="F40" s="20"/>
      <c r="G40" s="20"/>
      <c r="H40" s="20"/>
      <c r="I40" s="20"/>
      <c r="J40" s="2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7"/>
      <c r="C41" s="20"/>
      <c r="D41" s="20"/>
      <c r="E41" s="20"/>
      <c r="F41" s="20"/>
      <c r="G41" s="20"/>
      <c r="H41" s="20"/>
      <c r="I41" s="20"/>
      <c r="J41" s="20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7"/>
      <c r="C42" s="20"/>
      <c r="D42" s="20"/>
      <c r="E42" s="20"/>
      <c r="F42" s="20"/>
      <c r="G42" s="20"/>
      <c r="H42" s="20"/>
      <c r="I42" s="20"/>
      <c r="J42" s="20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7"/>
      <c r="C43" s="20"/>
      <c r="D43" s="20"/>
      <c r="E43" s="20"/>
      <c r="F43" s="20"/>
      <c r="G43" s="20"/>
      <c r="H43" s="20"/>
      <c r="I43" s="20"/>
      <c r="J43" s="20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7"/>
      <c r="C44" s="20"/>
      <c r="D44" s="20"/>
      <c r="E44" s="20"/>
      <c r="F44" s="20"/>
      <c r="G44" s="20"/>
      <c r="H44" s="20"/>
      <c r="I44" s="20"/>
      <c r="J44" s="20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7"/>
      <c r="C45" s="20"/>
      <c r="D45" s="20"/>
      <c r="E45" s="20"/>
      <c r="F45" s="20"/>
      <c r="G45" s="20"/>
      <c r="H45" s="20"/>
      <c r="I45" s="20"/>
      <c r="J45" s="20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x14ac:dyDescent="0.25">
      <c r="B46" s="37"/>
      <c r="C46" s="20"/>
      <c r="D46" s="20"/>
      <c r="E46" s="20"/>
      <c r="F46" s="20"/>
      <c r="G46" s="20"/>
      <c r="H46" s="20"/>
      <c r="I46" s="20"/>
      <c r="J46" s="20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6"/>
    </row>
    <row r="47" spans="2:23" x14ac:dyDescent="0.25">
      <c r="B47" s="37"/>
      <c r="C47" s="20"/>
      <c r="D47" s="20"/>
      <c r="E47" s="20"/>
      <c r="F47" s="20"/>
      <c r="G47" s="20"/>
      <c r="H47" s="20"/>
      <c r="I47" s="20"/>
      <c r="J47" s="20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6"/>
    </row>
    <row r="48" spans="2:23" x14ac:dyDescent="0.25">
      <c r="B48" s="37"/>
      <c r="C48" s="20"/>
      <c r="D48" s="20"/>
      <c r="E48" s="20"/>
      <c r="F48" s="20"/>
      <c r="G48" s="20"/>
      <c r="H48" s="20"/>
      <c r="I48" s="20"/>
      <c r="J48" s="20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6"/>
    </row>
    <row r="49" spans="2:23" ht="15.75" thickBot="1" x14ac:dyDescent="0.3">
      <c r="B49" s="38"/>
      <c r="C49" s="39"/>
      <c r="D49" s="39"/>
      <c r="E49" s="39"/>
      <c r="F49" s="39"/>
      <c r="G49" s="39"/>
      <c r="H49" s="39"/>
      <c r="I49" s="39"/>
      <c r="J49" s="39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1"/>
    </row>
    <row r="50" spans="2:23" ht="15.75" thickBot="1" x14ac:dyDescent="0.3"/>
    <row r="51" spans="2:23" x14ac:dyDescent="0.25">
      <c r="B51" s="42"/>
      <c r="C51" s="43"/>
      <c r="D51" s="43"/>
      <c r="E51" s="43"/>
      <c r="F51" s="43"/>
      <c r="G51" s="43"/>
      <c r="H51" s="43"/>
      <c r="I51" s="43"/>
      <c r="J51" s="43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3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x14ac:dyDescent="0.25">
      <c r="B59" s="37"/>
      <c r="C59" s="20"/>
      <c r="D59" s="20"/>
      <c r="E59" s="20"/>
      <c r="F59" s="20"/>
      <c r="G59" s="20"/>
      <c r="H59" s="20"/>
      <c r="I59" s="20"/>
      <c r="J59" s="20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6"/>
    </row>
    <row r="60" spans="2:23" x14ac:dyDescent="0.25">
      <c r="B60" s="37"/>
      <c r="C60" s="20"/>
      <c r="D60" s="20"/>
      <c r="E60" s="20"/>
      <c r="F60" s="20"/>
      <c r="G60" s="20"/>
      <c r="H60" s="20"/>
      <c r="I60" s="20"/>
      <c r="J60" s="20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6"/>
    </row>
    <row r="61" spans="2:23" x14ac:dyDescent="0.25">
      <c r="B61" s="37"/>
      <c r="C61" s="20"/>
      <c r="D61" s="20"/>
      <c r="E61" s="20"/>
      <c r="F61" s="20"/>
      <c r="G61" s="20"/>
      <c r="H61" s="20"/>
      <c r="I61" s="20"/>
      <c r="J61" s="20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6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x14ac:dyDescent="0.25">
      <c r="B78" s="37"/>
      <c r="C78" s="20"/>
      <c r="D78" s="20"/>
      <c r="E78" s="20"/>
      <c r="F78" s="20"/>
      <c r="G78" s="20"/>
      <c r="H78" s="20"/>
      <c r="I78" s="20"/>
      <c r="J78" s="20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6"/>
    </row>
    <row r="79" spans="2:23" x14ac:dyDescent="0.25">
      <c r="B79" s="37"/>
      <c r="C79" s="20"/>
      <c r="D79" s="20"/>
      <c r="E79" s="20"/>
      <c r="F79" s="20"/>
      <c r="G79" s="20"/>
      <c r="H79" s="20"/>
      <c r="I79" s="20"/>
      <c r="J79" s="20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6"/>
    </row>
    <row r="80" spans="2:23" x14ac:dyDescent="0.25">
      <c r="B80" s="37"/>
      <c r="C80" s="20"/>
      <c r="D80" s="20"/>
      <c r="E80" s="20"/>
      <c r="F80" s="20"/>
      <c r="G80" s="20"/>
      <c r="H80" s="20"/>
      <c r="I80" s="20"/>
      <c r="J80" s="20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6"/>
    </row>
    <row r="81" spans="2:23" ht="15.75" thickBot="1" x14ac:dyDescent="0.3">
      <c r="B81" s="38"/>
      <c r="C81" s="39"/>
      <c r="D81" s="39"/>
      <c r="E81" s="39"/>
      <c r="F81" s="39"/>
      <c r="G81" s="39"/>
      <c r="H81" s="39"/>
      <c r="I81" s="39"/>
      <c r="J81" s="39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1"/>
    </row>
    <row r="82" spans="2:23" ht="15.75" thickBot="1" x14ac:dyDescent="0.3"/>
    <row r="83" spans="2:23" x14ac:dyDescent="0.25">
      <c r="B83" s="42"/>
      <c r="C83" s="43"/>
      <c r="D83" s="43"/>
      <c r="E83" s="43"/>
      <c r="F83" s="43"/>
      <c r="G83" s="43"/>
      <c r="H83" s="43"/>
      <c r="I83" s="43"/>
      <c r="J83" s="43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3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x14ac:dyDescent="0.25">
      <c r="B91" s="37"/>
      <c r="C91" s="20"/>
      <c r="D91" s="20"/>
      <c r="E91" s="20"/>
      <c r="F91" s="20"/>
      <c r="G91" s="20"/>
      <c r="H91" s="20"/>
      <c r="I91" s="20"/>
      <c r="J91" s="20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6"/>
    </row>
    <row r="92" spans="2:23" x14ac:dyDescent="0.25">
      <c r="B92" s="37"/>
      <c r="C92" s="20"/>
      <c r="D92" s="20"/>
      <c r="E92" s="20"/>
      <c r="F92" s="20"/>
      <c r="G92" s="20"/>
      <c r="H92" s="20"/>
      <c r="I92" s="20"/>
      <c r="J92" s="20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</row>
    <row r="93" spans="2:23" x14ac:dyDescent="0.25">
      <c r="B93" s="37"/>
      <c r="C93" s="20"/>
      <c r="D93" s="20"/>
      <c r="E93" s="20"/>
      <c r="F93" s="20"/>
      <c r="G93" s="20"/>
      <c r="H93" s="20"/>
      <c r="I93" s="20"/>
      <c r="J93" s="20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6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x14ac:dyDescent="0.25">
      <c r="B110" s="37"/>
      <c r="C110" s="20"/>
      <c r="D110" s="20"/>
      <c r="E110" s="20"/>
      <c r="F110" s="20"/>
      <c r="G110" s="20"/>
      <c r="H110" s="20"/>
      <c r="I110" s="20"/>
      <c r="J110" s="20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6"/>
    </row>
    <row r="111" spans="2:23" x14ac:dyDescent="0.25">
      <c r="B111" s="37"/>
      <c r="C111" s="20"/>
      <c r="D111" s="20"/>
      <c r="E111" s="20"/>
      <c r="F111" s="20"/>
      <c r="G111" s="20"/>
      <c r="H111" s="20"/>
      <c r="I111" s="20"/>
      <c r="J111" s="20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6"/>
    </row>
    <row r="112" spans="2:23" x14ac:dyDescent="0.25">
      <c r="B112" s="37"/>
      <c r="C112" s="20"/>
      <c r="D112" s="20"/>
      <c r="E112" s="20"/>
      <c r="F112" s="20"/>
      <c r="G112" s="20"/>
      <c r="H112" s="20"/>
      <c r="I112" s="20"/>
      <c r="J112" s="20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6"/>
    </row>
    <row r="113" spans="2:23" ht="15.75" thickBot="1" x14ac:dyDescent="0.3">
      <c r="B113" s="38"/>
      <c r="C113" s="39"/>
      <c r="D113" s="39"/>
      <c r="E113" s="39"/>
      <c r="F113" s="39"/>
      <c r="G113" s="39"/>
      <c r="H113" s="39"/>
      <c r="I113" s="39"/>
      <c r="J113" s="39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1"/>
    </row>
    <row r="114" spans="2:23" ht="15.75" thickBot="1" x14ac:dyDescent="0.3"/>
    <row r="115" spans="2:23" x14ac:dyDescent="0.25">
      <c r="B115" s="42"/>
      <c r="C115" s="43"/>
      <c r="D115" s="43"/>
      <c r="E115" s="43"/>
      <c r="F115" s="43"/>
      <c r="G115" s="43"/>
      <c r="H115" s="43"/>
      <c r="I115" s="43"/>
      <c r="J115" s="43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3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x14ac:dyDescent="0.25">
      <c r="B123" s="37"/>
      <c r="C123" s="20"/>
      <c r="D123" s="20"/>
      <c r="E123" s="20"/>
      <c r="F123" s="20"/>
      <c r="G123" s="20"/>
      <c r="H123" s="20"/>
      <c r="I123" s="20"/>
      <c r="J123" s="20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6"/>
    </row>
    <row r="124" spans="2:23" x14ac:dyDescent="0.25">
      <c r="B124" s="37"/>
      <c r="C124" s="20"/>
      <c r="D124" s="20"/>
      <c r="E124" s="20"/>
      <c r="F124" s="20"/>
      <c r="G124" s="20"/>
      <c r="H124" s="20"/>
      <c r="I124" s="20"/>
      <c r="J124" s="20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6"/>
    </row>
    <row r="125" spans="2:23" x14ac:dyDescent="0.25">
      <c r="B125" s="37"/>
      <c r="C125" s="20"/>
      <c r="D125" s="20"/>
      <c r="E125" s="20"/>
      <c r="F125" s="20"/>
      <c r="G125" s="20"/>
      <c r="H125" s="20"/>
      <c r="I125" s="20"/>
      <c r="J125" s="20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6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x14ac:dyDescent="0.25">
      <c r="B142" s="37"/>
      <c r="C142" s="20"/>
      <c r="D142" s="20"/>
      <c r="E142" s="20"/>
      <c r="F142" s="20"/>
      <c r="G142" s="20"/>
      <c r="H142" s="20"/>
      <c r="I142" s="20"/>
      <c r="J142" s="20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6"/>
    </row>
    <row r="143" spans="2:23" x14ac:dyDescent="0.25">
      <c r="B143" s="37"/>
      <c r="C143" s="20"/>
      <c r="D143" s="20"/>
      <c r="E143" s="20"/>
      <c r="F143" s="20"/>
      <c r="G143" s="20"/>
      <c r="H143" s="20"/>
      <c r="I143" s="20"/>
      <c r="J143" s="20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6"/>
    </row>
    <row r="144" spans="2:23" x14ac:dyDescent="0.25">
      <c r="B144" s="37"/>
      <c r="C144" s="20"/>
      <c r="D144" s="20"/>
      <c r="E144" s="20"/>
      <c r="F144" s="20"/>
      <c r="G144" s="20"/>
      <c r="H144" s="20"/>
      <c r="I144" s="20"/>
      <c r="J144" s="20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6"/>
    </row>
    <row r="145" spans="2:24" ht="15.75" thickBot="1" x14ac:dyDescent="0.3">
      <c r="B145" s="38"/>
      <c r="C145" s="39"/>
      <c r="D145" s="39"/>
      <c r="E145" s="39"/>
      <c r="F145" s="39"/>
      <c r="G145" s="39"/>
      <c r="H145" s="39"/>
      <c r="I145" s="39"/>
      <c r="J145" s="39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1"/>
    </row>
    <row r="147" spans="2:24" x14ac:dyDescent="0.25">
      <c r="B147" s="19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spans="2:24" x14ac:dyDescent="0.25">
      <c r="B148" s="19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spans="2:24" x14ac:dyDescent="0.25">
      <c r="B149" s="19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spans="2:24" x14ac:dyDescent="0.25">
      <c r="B150" s="19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spans="2:24" x14ac:dyDescent="0.25">
      <c r="B151" s="19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spans="2:24" x14ac:dyDescent="0.25">
      <c r="B152" s="19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2:24" x14ac:dyDescent="0.25">
      <c r="B153" s="19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spans="2:24" x14ac:dyDescent="0.25">
      <c r="B154" s="19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spans="2:24" x14ac:dyDescent="0.25">
      <c r="B155" s="19"/>
      <c r="C155" s="20"/>
      <c r="D155" s="20"/>
      <c r="E155" s="20"/>
      <c r="F155" s="20"/>
      <c r="G155" s="20"/>
      <c r="H155" s="20"/>
      <c r="I155" s="20"/>
      <c r="J155" s="20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spans="2:24" x14ac:dyDescent="0.25">
      <c r="B156" s="19"/>
      <c r="C156" s="20"/>
      <c r="D156" s="20"/>
      <c r="E156" s="20"/>
      <c r="F156" s="20"/>
      <c r="G156" s="20"/>
      <c r="H156" s="20"/>
      <c r="I156" s="20"/>
      <c r="J156" s="20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spans="2:24" x14ac:dyDescent="0.25">
      <c r="B157" s="19"/>
      <c r="C157" s="20"/>
      <c r="D157" s="20"/>
      <c r="E157" s="20"/>
      <c r="F157" s="20"/>
      <c r="G157" s="20"/>
      <c r="H157" s="20"/>
      <c r="I157" s="20"/>
      <c r="J157" s="20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spans="2:24" x14ac:dyDescent="0.25">
      <c r="B158" s="19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spans="2:24" x14ac:dyDescent="0.25">
      <c r="B159" s="19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spans="2:24" x14ac:dyDescent="0.25">
      <c r="B160" s="19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spans="2:24" x14ac:dyDescent="0.25">
      <c r="B161" s="19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spans="2:24" x14ac:dyDescent="0.25">
      <c r="B162" s="19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spans="2:24" x14ac:dyDescent="0.25">
      <c r="B163" s="19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2:24" x14ac:dyDescent="0.25">
      <c r="B164" s="19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spans="2:24" x14ac:dyDescent="0.25">
      <c r="B165" s="19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spans="2:24" x14ac:dyDescent="0.25">
      <c r="B166" s="19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2:24" x14ac:dyDescent="0.25">
      <c r="B167" s="19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2:24" x14ac:dyDescent="0.25">
      <c r="B168" s="19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2:24" x14ac:dyDescent="0.25">
      <c r="B169" s="19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spans="2:24" x14ac:dyDescent="0.25">
      <c r="B170" s="19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spans="2:24" x14ac:dyDescent="0.25">
      <c r="B171" s="19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spans="2:24" x14ac:dyDescent="0.25">
      <c r="B172" s="19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spans="2:24" x14ac:dyDescent="0.25">
      <c r="B173" s="19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spans="2:24" x14ac:dyDescent="0.25">
      <c r="B174" s="19"/>
      <c r="C174" s="20"/>
      <c r="D174" s="20"/>
      <c r="E174" s="20"/>
      <c r="F174" s="20"/>
      <c r="G174" s="20"/>
      <c r="H174" s="20"/>
      <c r="I174" s="20"/>
      <c r="J174" s="20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spans="2:24" x14ac:dyDescent="0.25">
      <c r="B175" s="19"/>
      <c r="C175" s="20"/>
      <c r="D175" s="20"/>
      <c r="E175" s="20"/>
      <c r="F175" s="20"/>
      <c r="G175" s="20"/>
      <c r="H175" s="20"/>
      <c r="I175" s="20"/>
      <c r="J175" s="20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spans="2:24" x14ac:dyDescent="0.25">
      <c r="B176" s="19"/>
      <c r="C176" s="20"/>
      <c r="D176" s="20"/>
      <c r="E176" s="20"/>
      <c r="F176" s="20"/>
      <c r="G176" s="20"/>
      <c r="H176" s="20"/>
      <c r="I176" s="20"/>
      <c r="J176" s="20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spans="2:24" x14ac:dyDescent="0.25">
      <c r="B177" s="19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spans="2:24" x14ac:dyDescent="0.25">
      <c r="B178" s="19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spans="2:24" x14ac:dyDescent="0.25">
      <c r="B179" s="19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2:24" x14ac:dyDescent="0.25">
      <c r="B180" s="19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spans="2:24" x14ac:dyDescent="0.25">
      <c r="B181" s="19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spans="2:24" x14ac:dyDescent="0.25">
      <c r="B182" s="19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spans="2:24" x14ac:dyDescent="0.25">
      <c r="B183" s="19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spans="2:24" x14ac:dyDescent="0.25">
      <c r="B184" s="19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spans="2:24" x14ac:dyDescent="0.25">
      <c r="B185" s="19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2:24" x14ac:dyDescent="0.25">
      <c r="B186" s="19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spans="2:24" x14ac:dyDescent="0.25">
      <c r="B187" s="19"/>
      <c r="C187" s="20"/>
      <c r="D187" s="20"/>
      <c r="E187" s="20"/>
      <c r="F187" s="20"/>
      <c r="G187" s="20"/>
      <c r="H187" s="20"/>
      <c r="I187" s="20"/>
      <c r="J187" s="20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spans="2:24" x14ac:dyDescent="0.25">
      <c r="B188" s="19"/>
      <c r="C188" s="20"/>
      <c r="D188" s="20"/>
      <c r="E188" s="20"/>
      <c r="F188" s="20"/>
      <c r="G188" s="20"/>
      <c r="H188" s="20"/>
      <c r="I188" s="20"/>
      <c r="J188" s="20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spans="2:24" x14ac:dyDescent="0.25">
      <c r="B189" s="19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spans="2:24" x14ac:dyDescent="0.25">
      <c r="B190" s="19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spans="2:24" x14ac:dyDescent="0.25">
      <c r="B191" s="19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2:24" x14ac:dyDescent="0.25">
      <c r="B192" s="19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spans="2:24" x14ac:dyDescent="0.25">
      <c r="B193" s="19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spans="2:24" x14ac:dyDescent="0.25">
      <c r="B194" s="19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spans="2:24" x14ac:dyDescent="0.25">
      <c r="B195" s="19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spans="2:24" x14ac:dyDescent="0.25">
      <c r="B196" s="19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spans="2:24" x14ac:dyDescent="0.25">
      <c r="B197" s="19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spans="2:24" x14ac:dyDescent="0.25">
      <c r="B198" s="19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spans="2:24" x14ac:dyDescent="0.25">
      <c r="B199" s="19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spans="2:24" x14ac:dyDescent="0.25">
      <c r="B200" s="19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2:24" x14ac:dyDescent="0.25">
      <c r="B201" s="19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2:24" x14ac:dyDescent="0.25">
      <c r="B202" s="19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2:24" x14ac:dyDescent="0.25">
      <c r="B203" s="19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2:24" x14ac:dyDescent="0.25">
      <c r="B204" s="19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2:24" x14ac:dyDescent="0.25">
      <c r="B205" s="19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2:24" x14ac:dyDescent="0.25">
      <c r="B206" s="19"/>
      <c r="C206" s="20"/>
      <c r="D206" s="20"/>
      <c r="E206" s="20"/>
      <c r="F206" s="20"/>
      <c r="G206" s="20"/>
      <c r="H206" s="20"/>
      <c r="I206" s="20"/>
      <c r="J206" s="20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2:24" x14ac:dyDescent="0.25">
      <c r="B207" s="19"/>
      <c r="C207" s="20"/>
      <c r="D207" s="20"/>
      <c r="E207" s="20"/>
      <c r="F207" s="20"/>
      <c r="G207" s="20"/>
      <c r="H207" s="20"/>
      <c r="I207" s="20"/>
      <c r="J207" s="20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2:24" x14ac:dyDescent="0.25">
      <c r="B208" s="19"/>
      <c r="C208" s="20"/>
      <c r="D208" s="20"/>
      <c r="E208" s="20"/>
      <c r="F208" s="20"/>
      <c r="G208" s="20"/>
      <c r="H208" s="20"/>
      <c r="I208" s="20"/>
      <c r="J208" s="20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2:24" x14ac:dyDescent="0.25">
      <c r="B209" s="19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2:24" x14ac:dyDescent="0.25">
      <c r="B210" s="19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2:24" x14ac:dyDescent="0.25">
      <c r="B211" s="19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2:24" x14ac:dyDescent="0.25">
      <c r="B212" s="19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2:24" x14ac:dyDescent="0.25">
      <c r="B213" s="19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2:24" x14ac:dyDescent="0.25">
      <c r="B214" s="19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2:24" x14ac:dyDescent="0.25">
      <c r="B215" s="19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2:24" x14ac:dyDescent="0.25">
      <c r="B216" s="19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2:24" x14ac:dyDescent="0.25">
      <c r="B217" s="19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2:24" x14ac:dyDescent="0.25">
      <c r="B218" s="19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2:24" x14ac:dyDescent="0.25">
      <c r="B219" s="19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2:24" x14ac:dyDescent="0.25">
      <c r="B220" s="19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2:24" x14ac:dyDescent="0.25">
      <c r="B221" s="19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2:24" x14ac:dyDescent="0.25">
      <c r="B222" s="19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2:24" x14ac:dyDescent="0.25">
      <c r="B223" s="19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2:24" x14ac:dyDescent="0.25">
      <c r="B224" s="19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2:24" x14ac:dyDescent="0.25">
      <c r="B225" s="19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2:24" x14ac:dyDescent="0.25">
      <c r="B226" s="19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2:24" x14ac:dyDescent="0.25">
      <c r="B227" s="19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2:24" x14ac:dyDescent="0.25">
      <c r="B228" s="19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2:24" x14ac:dyDescent="0.25">
      <c r="B229" s="19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2:24" x14ac:dyDescent="0.25">
      <c r="B230" s="19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2:24" x14ac:dyDescent="0.25">
      <c r="B231" s="19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2:24" x14ac:dyDescent="0.25">
      <c r="B232" s="19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2:24" x14ac:dyDescent="0.25">
      <c r="B233" s="19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2:24" x14ac:dyDescent="0.25">
      <c r="B234" s="19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2:24" x14ac:dyDescent="0.25">
      <c r="B235" s="19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2:24" x14ac:dyDescent="0.25">
      <c r="B236" s="19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2:24" x14ac:dyDescent="0.25">
      <c r="B237" s="19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2:24" x14ac:dyDescent="0.25">
      <c r="B238" s="19"/>
      <c r="C238" s="20"/>
      <c r="D238" s="20"/>
      <c r="E238" s="20"/>
      <c r="F238" s="20"/>
      <c r="G238" s="20"/>
      <c r="H238" s="20"/>
      <c r="I238" s="20"/>
      <c r="J238" s="20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2:24" x14ac:dyDescent="0.25">
      <c r="B239" s="19"/>
      <c r="C239" s="20"/>
      <c r="D239" s="20"/>
      <c r="E239" s="20"/>
      <c r="F239" s="20"/>
      <c r="G239" s="20"/>
      <c r="H239" s="20"/>
      <c r="I239" s="20"/>
      <c r="J239" s="20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2:24" x14ac:dyDescent="0.25">
      <c r="B240" s="19"/>
      <c r="C240" s="20"/>
      <c r="D240" s="20"/>
      <c r="E240" s="20"/>
      <c r="F240" s="20"/>
      <c r="G240" s="20"/>
      <c r="H240" s="20"/>
      <c r="I240" s="20"/>
      <c r="J240" s="20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2:24" x14ac:dyDescent="0.25">
      <c r="B241" s="19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2:24" x14ac:dyDescent="0.25">
      <c r="B242" s="19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2:24" x14ac:dyDescent="0.25">
      <c r="B243" s="19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2:24" x14ac:dyDescent="0.25">
      <c r="B244" s="19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2:24" x14ac:dyDescent="0.25">
      <c r="B245" s="19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2:24" x14ac:dyDescent="0.25">
      <c r="B246" s="19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2:24" x14ac:dyDescent="0.25">
      <c r="B247" s="19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2:24" x14ac:dyDescent="0.25">
      <c r="B248" s="19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2:24" x14ac:dyDescent="0.25">
      <c r="B249" s="19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2:24" x14ac:dyDescent="0.25">
      <c r="B250" s="19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2:24" x14ac:dyDescent="0.25">
      <c r="B251" s="19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2:24" x14ac:dyDescent="0.25">
      <c r="B252" s="19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2:24" x14ac:dyDescent="0.25">
      <c r="B253" s="19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2:24" x14ac:dyDescent="0.25">
      <c r="B254" s="19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2:24" x14ac:dyDescent="0.25">
      <c r="B255" s="19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2:24" x14ac:dyDescent="0.25">
      <c r="B256" s="19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2:24" x14ac:dyDescent="0.25">
      <c r="B257" s="19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2:24" x14ac:dyDescent="0.25">
      <c r="B258" s="19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2:24" x14ac:dyDescent="0.25">
      <c r="B259" s="19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2:24" x14ac:dyDescent="0.25">
      <c r="B260" s="19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2:24" x14ac:dyDescent="0.25">
      <c r="B261" s="19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2:24" x14ac:dyDescent="0.25">
      <c r="B262" s="19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2:24" x14ac:dyDescent="0.25">
      <c r="B263" s="19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2:24" x14ac:dyDescent="0.25">
      <c r="B264" s="19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2:24" x14ac:dyDescent="0.25">
      <c r="B265" s="19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2:24" x14ac:dyDescent="0.25">
      <c r="B266" s="19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2:24" x14ac:dyDescent="0.25">
      <c r="B267" s="19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2:24" x14ac:dyDescent="0.25">
      <c r="B268" s="19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2:24" x14ac:dyDescent="0.25">
      <c r="B269" s="19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2:24" x14ac:dyDescent="0.25">
      <c r="B270" s="19"/>
      <c r="C270" s="20"/>
      <c r="D270" s="20"/>
      <c r="E270" s="20"/>
      <c r="F270" s="20"/>
      <c r="G270" s="20"/>
      <c r="H270" s="20"/>
      <c r="I270" s="20"/>
      <c r="J270" s="20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2:24" x14ac:dyDescent="0.25">
      <c r="B271" s="19"/>
      <c r="C271" s="20"/>
      <c r="D271" s="20"/>
      <c r="E271" s="20"/>
      <c r="F271" s="20"/>
      <c r="G271" s="20"/>
      <c r="H271" s="20"/>
      <c r="I271" s="20"/>
      <c r="J271" s="20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2:24" x14ac:dyDescent="0.25">
      <c r="B272" s="19"/>
      <c r="C272" s="20"/>
      <c r="D272" s="20"/>
      <c r="E272" s="20"/>
      <c r="F272" s="20"/>
      <c r="G272" s="20"/>
      <c r="H272" s="20"/>
      <c r="I272" s="20"/>
      <c r="J272" s="20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2:24" x14ac:dyDescent="0.25">
      <c r="B273" s="19"/>
      <c r="C273" s="20"/>
      <c r="D273" s="20"/>
      <c r="E273" s="20"/>
      <c r="F273" s="20"/>
      <c r="G273" s="20"/>
      <c r="H273" s="20"/>
      <c r="I273" s="20"/>
      <c r="J273" s="20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</sheetData>
  <mergeCells count="18">
    <mergeCell ref="I16:I17"/>
    <mergeCell ref="J16:J17"/>
    <mergeCell ref="G2:G3"/>
    <mergeCell ref="H2:H3"/>
    <mergeCell ref="I2:I3"/>
    <mergeCell ref="J2:J3"/>
    <mergeCell ref="G16:G17"/>
    <mergeCell ref="H16:H17"/>
    <mergeCell ref="B16:B17"/>
    <mergeCell ref="C16:C17"/>
    <mergeCell ref="D16:D17"/>
    <mergeCell ref="E16:E17"/>
    <mergeCell ref="F16:F17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Product Margin Analysis</vt:lpstr>
      <vt:lpstr>Product Revenue Analysis</vt:lpstr>
      <vt:lpstr>Installer Analysis</vt:lpstr>
      <vt:lpstr>Designer Analysis</vt:lpstr>
      <vt:lpstr>Sales Location Analysis</vt:lpstr>
      <vt:lpstr>Sales by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user</cp:lastModifiedBy>
  <cp:lastPrinted>2022-10-24T22:11:24Z</cp:lastPrinted>
  <dcterms:created xsi:type="dcterms:W3CDTF">2015-06-16T16:58:48Z</dcterms:created>
  <dcterms:modified xsi:type="dcterms:W3CDTF">2024-11-05T22:28:58Z</dcterms:modified>
</cp:coreProperties>
</file>