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x/Dropbox/11 Files/"/>
    </mc:Choice>
  </mc:AlternateContent>
  <xr:revisionPtr revIDLastSave="0" documentId="13_ncr:1_{B96258BB-33AE-7F43-B033-4D6BCCF68936}" xr6:coauthVersionLast="45" xr6:coauthVersionMax="45" xr10:uidLastSave="{00000000-0000-0000-0000-000000000000}"/>
  <bookViews>
    <workbookView xWindow="38440" yWindow="1480" windowWidth="32960" windowHeight="26260" activeTab="2" xr2:uid="{47307A35-B5AE-0441-937E-6F3157059FFC}"/>
  </bookViews>
  <sheets>
    <sheet name="screen" sheetId="1" r:id="rId1"/>
    <sheet name="lua table" sheetId="2" r:id="rId2"/>
    <sheet name="lua tabl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3" l="1"/>
  <c r="B26" i="3"/>
  <c r="C26" i="3"/>
  <c r="D26" i="3"/>
  <c r="E26" i="3"/>
  <c r="A25" i="3"/>
  <c r="B25" i="3"/>
  <c r="C25" i="3"/>
  <c r="D25" i="3"/>
  <c r="E25" i="3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A41" i="2"/>
  <c r="A42" i="2"/>
  <c r="A43" i="2"/>
  <c r="A44" i="2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D63" i="1"/>
  <c r="D62" i="1"/>
  <c r="D61" i="1"/>
  <c r="D60" i="1"/>
  <c r="F41" i="1" l="1"/>
  <c r="D41" i="1"/>
  <c r="D40" i="1"/>
  <c r="A1" i="2" l="1"/>
  <c r="A6" i="3"/>
  <c r="A1" i="3"/>
  <c r="A31" i="3"/>
  <c r="A30" i="3"/>
  <c r="A29" i="3"/>
  <c r="A28" i="3"/>
  <c r="A27" i="3"/>
  <c r="A24" i="3"/>
  <c r="A23" i="3"/>
  <c r="A22" i="3"/>
  <c r="A21" i="3"/>
  <c r="C19" i="3"/>
  <c r="B19" i="3"/>
  <c r="A19" i="3"/>
  <c r="A18" i="3"/>
  <c r="A17" i="3"/>
  <c r="A14" i="3"/>
  <c r="A13" i="3"/>
  <c r="A12" i="3"/>
  <c r="A11" i="3"/>
  <c r="A10" i="3"/>
  <c r="A9" i="3"/>
  <c r="A8" i="3"/>
  <c r="A7" i="3"/>
  <c r="B3" i="3" l="1"/>
  <c r="B22" i="2"/>
  <c r="A22" i="2"/>
  <c r="A21" i="2"/>
  <c r="C31" i="2"/>
  <c r="B31" i="2"/>
  <c r="A31" i="2"/>
  <c r="C30" i="2"/>
  <c r="B30" i="2"/>
  <c r="A30" i="2"/>
  <c r="E42" i="1" l="1"/>
  <c r="A15" i="3" s="1"/>
  <c r="F39" i="1"/>
  <c r="D39" i="1"/>
  <c r="D38" i="1"/>
  <c r="A9" i="2" l="1"/>
  <c r="A10" i="2"/>
  <c r="A35" i="2"/>
  <c r="A36" i="2"/>
  <c r="A37" i="2"/>
  <c r="A38" i="2"/>
  <c r="A39" i="2"/>
  <c r="A40" i="2"/>
  <c r="A45" i="2"/>
  <c r="A46" i="2"/>
  <c r="A47" i="2"/>
  <c r="A48" i="2"/>
  <c r="A49" i="2"/>
  <c r="A50" i="2"/>
  <c r="A51" i="2"/>
  <c r="A52" i="2"/>
  <c r="A53" i="2"/>
  <c r="A54" i="2"/>
  <c r="A34" i="2"/>
  <c r="A33" i="2"/>
  <c r="A28" i="2"/>
  <c r="A29" i="2"/>
  <c r="A27" i="2"/>
  <c r="A26" i="2"/>
  <c r="A13" i="2"/>
  <c r="A14" i="2"/>
  <c r="A15" i="2"/>
  <c r="A16" i="2"/>
  <c r="A17" i="2"/>
  <c r="A18" i="2"/>
  <c r="A19" i="2"/>
  <c r="A20" i="2"/>
  <c r="A23" i="2"/>
  <c r="A24" i="2"/>
  <c r="A12" i="2"/>
  <c r="A11" i="2"/>
  <c r="A8" i="2"/>
  <c r="A7" i="2"/>
  <c r="B3" i="2" l="1"/>
  <c r="F73" i="1"/>
  <c r="B54" i="2" s="1"/>
  <c r="D73" i="1"/>
  <c r="D72" i="1"/>
  <c r="F71" i="1"/>
  <c r="B52" i="2" s="1"/>
  <c r="D71" i="1"/>
  <c r="D70" i="1"/>
  <c r="F65" i="1" l="1"/>
  <c r="B46" i="2" s="1"/>
  <c r="D65" i="1"/>
  <c r="D64" i="1"/>
  <c r="F59" i="1"/>
  <c r="B40" i="2" s="1"/>
  <c r="D59" i="1"/>
  <c r="D58" i="1"/>
  <c r="F57" i="1"/>
  <c r="B38" i="2" s="1"/>
  <c r="D57" i="1"/>
  <c r="D56" i="1"/>
  <c r="F55" i="1"/>
  <c r="B36" i="2" s="1"/>
  <c r="D55" i="1"/>
  <c r="D54" i="1"/>
  <c r="F69" i="1" l="1"/>
  <c r="B50" i="2" s="1"/>
  <c r="D69" i="1"/>
  <c r="D68" i="1"/>
  <c r="F67" i="1"/>
  <c r="B48" i="2" s="1"/>
  <c r="D67" i="1"/>
  <c r="D66" i="1"/>
  <c r="F43" i="1"/>
  <c r="B24" i="2" s="1"/>
  <c r="D43" i="1"/>
  <c r="D42" i="1"/>
  <c r="F37" i="1"/>
  <c r="B20" i="2" s="1"/>
  <c r="D37" i="1"/>
  <c r="D36" i="1"/>
  <c r="F11" i="1" l="1"/>
  <c r="B6" i="2" s="1"/>
  <c r="F10" i="1"/>
  <c r="F53" i="1"/>
  <c r="B34" i="2" s="1"/>
  <c r="D53" i="1"/>
  <c r="D52" i="1"/>
  <c r="F48" i="1"/>
  <c r="B29" i="2" s="1"/>
  <c r="D48" i="1"/>
  <c r="D47" i="1"/>
  <c r="F46" i="1"/>
  <c r="B27" i="2" s="1"/>
  <c r="D46" i="1"/>
  <c r="D45" i="1"/>
  <c r="F35" i="1"/>
  <c r="B18" i="2" s="1"/>
  <c r="D35" i="1"/>
  <c r="D34" i="1"/>
  <c r="F33" i="1"/>
  <c r="B16" i="2" s="1"/>
  <c r="D33" i="1"/>
  <c r="D32" i="1"/>
  <c r="F31" i="1"/>
  <c r="B14" i="2" s="1"/>
  <c r="D31" i="1"/>
  <c r="D30" i="1"/>
  <c r="F29" i="1"/>
  <c r="B12" i="2" s="1"/>
  <c r="D29" i="1"/>
  <c r="D28" i="1"/>
  <c r="F27" i="1"/>
  <c r="D27" i="1"/>
  <c r="D26" i="1"/>
  <c r="F25" i="1"/>
  <c r="D25" i="1"/>
  <c r="D24" i="1"/>
  <c r="F23" i="1"/>
  <c r="D23" i="1"/>
  <c r="D22" i="1"/>
  <c r="F21" i="1"/>
  <c r="D21" i="1"/>
  <c r="D20" i="1"/>
  <c r="F19" i="1"/>
  <c r="D19" i="1"/>
  <c r="D18" i="1"/>
  <c r="F17" i="1"/>
  <c r="D17" i="1"/>
  <c r="D16" i="1"/>
  <c r="F15" i="1"/>
  <c r="D15" i="1"/>
  <c r="D14" i="1"/>
  <c r="F13" i="1"/>
  <c r="B8" i="2" s="1"/>
  <c r="D13" i="1"/>
  <c r="D12" i="1"/>
  <c r="E11" i="1"/>
  <c r="E10" i="1"/>
  <c r="D8" i="1"/>
  <c r="D7" i="1"/>
  <c r="H4" i="1"/>
  <c r="G41" i="1" s="1"/>
  <c r="C22" i="2" s="1"/>
  <c r="H3" i="1"/>
  <c r="G40" i="1" l="1"/>
  <c r="F40" i="1"/>
  <c r="G39" i="1"/>
  <c r="C3" i="3"/>
  <c r="G38" i="1"/>
  <c r="F38" i="1"/>
  <c r="B13" i="3" s="1"/>
  <c r="B5" i="2"/>
  <c r="B5" i="3"/>
  <c r="A5" i="3"/>
  <c r="B10" i="2"/>
  <c r="D10" i="1"/>
  <c r="G10" i="1" s="1"/>
  <c r="A5" i="2"/>
  <c r="D11" i="1"/>
  <c r="A6" i="2"/>
  <c r="C3" i="2"/>
  <c r="G12" i="1"/>
  <c r="C6" i="3" s="1"/>
  <c r="F70" i="1"/>
  <c r="G72" i="1"/>
  <c r="F72" i="1"/>
  <c r="G70" i="1"/>
  <c r="G73" i="1"/>
  <c r="C54" i="2" s="1"/>
  <c r="G71" i="1"/>
  <c r="C52" i="2" s="1"/>
  <c r="G64" i="1"/>
  <c r="F64" i="1"/>
  <c r="G65" i="1"/>
  <c r="C46" i="2" s="1"/>
  <c r="G58" i="1"/>
  <c r="F58" i="1"/>
  <c r="G59" i="1"/>
  <c r="C40" i="2" s="1"/>
  <c r="G56" i="1"/>
  <c r="F56" i="1"/>
  <c r="G57" i="1"/>
  <c r="C38" i="2" s="1"/>
  <c r="G67" i="1"/>
  <c r="C48" i="2" s="1"/>
  <c r="F54" i="1"/>
  <c r="G54" i="1"/>
  <c r="G55" i="1"/>
  <c r="C36" i="2" s="1"/>
  <c r="G66" i="1"/>
  <c r="G69" i="1"/>
  <c r="C50" i="2" s="1"/>
  <c r="G42" i="1"/>
  <c r="G36" i="1"/>
  <c r="F36" i="1"/>
  <c r="F42" i="1"/>
  <c r="G46" i="1"/>
  <c r="C27" i="2" s="1"/>
  <c r="F66" i="1"/>
  <c r="G68" i="1"/>
  <c r="F68" i="1"/>
  <c r="G37" i="1"/>
  <c r="C20" i="2" s="1"/>
  <c r="G43" i="1"/>
  <c r="C24" i="2" s="1"/>
  <c r="G19" i="1"/>
  <c r="F22" i="1"/>
  <c r="G35" i="1"/>
  <c r="C18" i="2" s="1"/>
  <c r="G27" i="1"/>
  <c r="G48" i="1"/>
  <c r="C29" i="2" s="1"/>
  <c r="G13" i="1"/>
  <c r="C8" i="2" s="1"/>
  <c r="G24" i="1"/>
  <c r="G15" i="1"/>
  <c r="F26" i="1"/>
  <c r="G8" i="1"/>
  <c r="F47" i="1"/>
  <c r="G23" i="1"/>
  <c r="G25" i="1"/>
  <c r="G53" i="1"/>
  <c r="C34" i="2" s="1"/>
  <c r="G14" i="1"/>
  <c r="F14" i="1"/>
  <c r="G11" i="1"/>
  <c r="C6" i="2" s="1"/>
  <c r="G22" i="1"/>
  <c r="G17" i="1"/>
  <c r="F24" i="1"/>
  <c r="G31" i="1"/>
  <c r="C14" i="2" s="1"/>
  <c r="F34" i="1"/>
  <c r="G34" i="1"/>
  <c r="F52" i="1"/>
  <c r="G52" i="1"/>
  <c r="G47" i="1"/>
  <c r="F28" i="1"/>
  <c r="F45" i="1"/>
  <c r="G26" i="1"/>
  <c r="H2" i="1"/>
  <c r="F16" i="1"/>
  <c r="G28" i="1"/>
  <c r="G45" i="1"/>
  <c r="G30" i="1"/>
  <c r="G21" i="1"/>
  <c r="F32" i="1"/>
  <c r="G32" i="1"/>
  <c r="F30" i="1"/>
  <c r="G18" i="1"/>
  <c r="F20" i="1"/>
  <c r="G16" i="1"/>
  <c r="F18" i="1"/>
  <c r="G7" i="1"/>
  <c r="F12" i="1"/>
  <c r="G20" i="1"/>
  <c r="G33" i="1"/>
  <c r="C16" i="2" s="1"/>
  <c r="G29" i="1"/>
  <c r="C12" i="2" s="1"/>
  <c r="H48" i="1" l="1"/>
  <c r="H47" i="1"/>
  <c r="H46" i="1"/>
  <c r="H45" i="1"/>
  <c r="I41" i="1"/>
  <c r="H41" i="1"/>
  <c r="I40" i="1"/>
  <c r="H40" i="1"/>
  <c r="D21" i="2" s="1"/>
  <c r="B14" i="3"/>
  <c r="B21" i="2"/>
  <c r="C14" i="3"/>
  <c r="C21" i="2"/>
  <c r="D19" i="3"/>
  <c r="E20" i="3"/>
  <c r="E14" i="3"/>
  <c r="E16" i="3"/>
  <c r="E19" i="3"/>
  <c r="D16" i="3"/>
  <c r="E4" i="3"/>
  <c r="E32" i="3"/>
  <c r="D20" i="3"/>
  <c r="C13" i="3"/>
  <c r="D4" i="3"/>
  <c r="D32" i="3"/>
  <c r="E3" i="3"/>
  <c r="D3" i="3"/>
  <c r="B6" i="3"/>
  <c r="C5" i="2"/>
  <c r="C5" i="3"/>
  <c r="C26" i="2"/>
  <c r="C17" i="3"/>
  <c r="B35" i="2"/>
  <c r="B22" i="3"/>
  <c r="B51" i="2"/>
  <c r="B30" i="3"/>
  <c r="C53" i="2"/>
  <c r="C31" i="3"/>
  <c r="C10" i="2"/>
  <c r="C13" i="2"/>
  <c r="C9" i="3"/>
  <c r="C11" i="2"/>
  <c r="C8" i="3"/>
  <c r="E22" i="2"/>
  <c r="D30" i="2"/>
  <c r="D22" i="2"/>
  <c r="E21" i="2"/>
  <c r="E31" i="2"/>
  <c r="D31" i="2"/>
  <c r="E30" i="2"/>
  <c r="I39" i="1"/>
  <c r="H39" i="1"/>
  <c r="H38" i="1"/>
  <c r="I38" i="1"/>
  <c r="B37" i="2"/>
  <c r="B23" i="3"/>
  <c r="C9" i="2"/>
  <c r="C7" i="3"/>
  <c r="B47" i="2"/>
  <c r="B28" i="3"/>
  <c r="B28" i="2"/>
  <c r="B18" i="3"/>
  <c r="C17" i="2"/>
  <c r="C11" i="3"/>
  <c r="C45" i="2"/>
  <c r="C27" i="3"/>
  <c r="C37" i="2"/>
  <c r="C23" i="3"/>
  <c r="B26" i="2"/>
  <c r="B17" i="3"/>
  <c r="C49" i="2"/>
  <c r="C29" i="3"/>
  <c r="B11" i="2"/>
  <c r="B8" i="3"/>
  <c r="B39" i="2"/>
  <c r="B24" i="3"/>
  <c r="C28" i="2"/>
  <c r="C18" i="3"/>
  <c r="C39" i="2"/>
  <c r="C24" i="3"/>
  <c r="B53" i="2"/>
  <c r="B31" i="3"/>
  <c r="C33" i="2"/>
  <c r="C21" i="3"/>
  <c r="B23" i="2"/>
  <c r="B15" i="3"/>
  <c r="B9" i="2"/>
  <c r="B7" i="3"/>
  <c r="B45" i="2"/>
  <c r="B27" i="3"/>
  <c r="B13" i="2"/>
  <c r="B9" i="3"/>
  <c r="C15" i="2"/>
  <c r="C10" i="3"/>
  <c r="C35" i="2"/>
  <c r="C22" i="3"/>
  <c r="B49" i="2"/>
  <c r="B29" i="3"/>
  <c r="B33" i="2"/>
  <c r="B21" i="3"/>
  <c r="B19" i="2"/>
  <c r="B12" i="3"/>
  <c r="C19" i="2"/>
  <c r="C12" i="3"/>
  <c r="B17" i="2"/>
  <c r="B11" i="3"/>
  <c r="C23" i="2"/>
  <c r="C15" i="3"/>
  <c r="B15" i="2"/>
  <c r="B10" i="3"/>
  <c r="C47" i="2"/>
  <c r="C28" i="3"/>
  <c r="C51" i="2"/>
  <c r="C30" i="3"/>
  <c r="E4" i="2"/>
  <c r="E25" i="2"/>
  <c r="E55" i="2"/>
  <c r="E32" i="2"/>
  <c r="E3" i="2"/>
  <c r="D4" i="2"/>
  <c r="D25" i="2"/>
  <c r="D3" i="2"/>
  <c r="D32" i="2"/>
  <c r="D55" i="2"/>
  <c r="B7" i="2"/>
  <c r="C7" i="2"/>
  <c r="I73" i="1"/>
  <c r="E54" i="2" s="1"/>
  <c r="H73" i="1"/>
  <c r="D54" i="2" s="1"/>
  <c r="I72" i="1"/>
  <c r="E31" i="3" s="1"/>
  <c r="H72" i="1"/>
  <c r="I70" i="1"/>
  <c r="H71" i="1"/>
  <c r="D52" i="2" s="1"/>
  <c r="H70" i="1"/>
  <c r="I71" i="1"/>
  <c r="E52" i="2" s="1"/>
  <c r="I65" i="1"/>
  <c r="E46" i="2" s="1"/>
  <c r="I64" i="1"/>
  <c r="H65" i="1"/>
  <c r="D46" i="2" s="1"/>
  <c r="H64" i="1"/>
  <c r="D27" i="3" s="1"/>
  <c r="I59" i="1"/>
  <c r="E40" i="2" s="1"/>
  <c r="H59" i="1"/>
  <c r="D40" i="2" s="1"/>
  <c r="H58" i="1"/>
  <c r="I58" i="1"/>
  <c r="E24" i="3" s="1"/>
  <c r="I57" i="1"/>
  <c r="E38" i="2" s="1"/>
  <c r="I56" i="1"/>
  <c r="E23" i="3" s="1"/>
  <c r="H56" i="1"/>
  <c r="H57" i="1"/>
  <c r="D38" i="2" s="1"/>
  <c r="H55" i="1"/>
  <c r="D36" i="2" s="1"/>
  <c r="I54" i="1"/>
  <c r="I55" i="1"/>
  <c r="E36" i="2" s="1"/>
  <c r="H54" i="1"/>
  <c r="H68" i="1"/>
  <c r="H66" i="1"/>
  <c r="H69" i="1"/>
  <c r="D50" i="2" s="1"/>
  <c r="I68" i="1"/>
  <c r="I69" i="1"/>
  <c r="E50" i="2" s="1"/>
  <c r="I67" i="1"/>
  <c r="E48" i="2" s="1"/>
  <c r="H67" i="1"/>
  <c r="D48" i="2" s="1"/>
  <c r="I66" i="1"/>
  <c r="E28" i="3" s="1"/>
  <c r="H37" i="1"/>
  <c r="D20" i="2" s="1"/>
  <c r="I36" i="1"/>
  <c r="I43" i="1"/>
  <c r="E24" i="2" s="1"/>
  <c r="I42" i="1"/>
  <c r="H36" i="1"/>
  <c r="H43" i="1"/>
  <c r="D24" i="2" s="1"/>
  <c r="H42" i="1"/>
  <c r="D15" i="3" s="1"/>
  <c r="I37" i="1"/>
  <c r="E20" i="2" s="1"/>
  <c r="I8" i="1"/>
  <c r="I10" i="1"/>
  <c r="I11" i="1"/>
  <c r="E6" i="2" s="1"/>
  <c r="I7" i="1"/>
  <c r="H8" i="1"/>
  <c r="H7" i="1"/>
  <c r="H10" i="1"/>
  <c r="H11" i="1"/>
  <c r="D6" i="2" s="1"/>
  <c r="I53" i="1"/>
  <c r="I35" i="1"/>
  <c r="E18" i="2" s="1"/>
  <c r="I27" i="1"/>
  <c r="H20" i="1"/>
  <c r="I15" i="1"/>
  <c r="I48" i="1"/>
  <c r="E29" i="2" s="1"/>
  <c r="I13" i="1"/>
  <c r="E8" i="2" s="1"/>
  <c r="D29" i="2"/>
  <c r="I30" i="1"/>
  <c r="H23" i="1"/>
  <c r="I21" i="1"/>
  <c r="I19" i="1"/>
  <c r="H53" i="1"/>
  <c r="D34" i="2" s="1"/>
  <c r="H35" i="1"/>
  <c r="D18" i="2" s="1"/>
  <c r="I32" i="1"/>
  <c r="E10" i="3" s="1"/>
  <c r="H27" i="1"/>
  <c r="H15" i="1"/>
  <c r="H25" i="1"/>
  <c r="I16" i="1"/>
  <c r="H34" i="1"/>
  <c r="H32" i="1"/>
  <c r="I25" i="1"/>
  <c r="I18" i="1"/>
  <c r="H13" i="1"/>
  <c r="D8" i="2" s="1"/>
  <c r="I24" i="1"/>
  <c r="H18" i="1"/>
  <c r="I23" i="1"/>
  <c r="I33" i="1"/>
  <c r="E16" i="2" s="1"/>
  <c r="H30" i="1"/>
  <c r="D17" i="3"/>
  <c r="H28" i="1"/>
  <c r="D8" i="3" s="1"/>
  <c r="H24" i="1"/>
  <c r="I45" i="1"/>
  <c r="H33" i="1"/>
  <c r="D16" i="2" s="1"/>
  <c r="I28" i="1"/>
  <c r="H21" i="1"/>
  <c r="H16" i="1"/>
  <c r="I17" i="1"/>
  <c r="I52" i="1"/>
  <c r="I47" i="1"/>
  <c r="E18" i="3" s="1"/>
  <c r="I26" i="1"/>
  <c r="H19" i="1"/>
  <c r="I14" i="1"/>
  <c r="I34" i="1"/>
  <c r="H52" i="1"/>
  <c r="D21" i="3" s="1"/>
  <c r="D18" i="3"/>
  <c r="H26" i="1"/>
  <c r="H14" i="1"/>
  <c r="I31" i="1"/>
  <c r="E14" i="2" s="1"/>
  <c r="H31" i="1"/>
  <c r="D14" i="2" s="1"/>
  <c r="I22" i="1"/>
  <c r="H17" i="1"/>
  <c r="I46" i="1"/>
  <c r="I29" i="1"/>
  <c r="E12" i="2" s="1"/>
  <c r="H22" i="1"/>
  <c r="I12" i="1"/>
  <c r="H12" i="1"/>
  <c r="D27" i="2"/>
  <c r="H29" i="1"/>
  <c r="D12" i="2" s="1"/>
  <c r="I20" i="1"/>
  <c r="D24" i="3" l="1"/>
  <c r="D30" i="3"/>
  <c r="E27" i="3"/>
  <c r="D13" i="3"/>
  <c r="E15" i="3"/>
  <c r="D14" i="3"/>
  <c r="E27" i="2"/>
  <c r="D11" i="3"/>
  <c r="D7" i="3"/>
  <c r="E8" i="3"/>
  <c r="E12" i="3"/>
  <c r="E17" i="3"/>
  <c r="E34" i="2"/>
  <c r="D31" i="3"/>
  <c r="D23" i="3"/>
  <c r="E11" i="3"/>
  <c r="E29" i="3"/>
  <c r="E5" i="3"/>
  <c r="E21" i="3"/>
  <c r="D9" i="3"/>
  <c r="D29" i="3"/>
  <c r="E6" i="3"/>
  <c r="E22" i="3"/>
  <c r="E7" i="3"/>
  <c r="D10" i="3"/>
  <c r="D12" i="3"/>
  <c r="E30" i="3"/>
  <c r="E13" i="3"/>
  <c r="D28" i="3"/>
  <c r="D6" i="3"/>
  <c r="D22" i="3"/>
  <c r="E9" i="3"/>
  <c r="D5" i="3"/>
  <c r="E7" i="2"/>
  <c r="D47" i="2"/>
  <c r="E45" i="2"/>
  <c r="E5" i="2"/>
  <c r="E13" i="2"/>
  <c r="D49" i="2"/>
  <c r="D35" i="2"/>
  <c r="D51" i="2"/>
  <c r="D23" i="2"/>
  <c r="E10" i="2"/>
  <c r="E35" i="2"/>
  <c r="D15" i="2"/>
  <c r="D10" i="2"/>
  <c r="D53" i="2"/>
  <c r="D37" i="2"/>
  <c r="E53" i="2"/>
  <c r="E28" i="2"/>
  <c r="E33" i="2"/>
  <c r="D9" i="2"/>
  <c r="E23" i="2"/>
  <c r="E19" i="2"/>
  <c r="E37" i="2"/>
  <c r="D17" i="2"/>
  <c r="E11" i="2"/>
  <c r="E26" i="2"/>
  <c r="E51" i="2"/>
  <c r="E47" i="2"/>
  <c r="E39" i="2"/>
  <c r="D39" i="2"/>
  <c r="D11" i="2"/>
  <c r="E15" i="2"/>
  <c r="D26" i="2"/>
  <c r="D5" i="2"/>
  <c r="D33" i="2"/>
  <c r="D19" i="2"/>
  <c r="D28" i="2"/>
  <c r="D13" i="2"/>
  <c r="E9" i="2"/>
  <c r="E17" i="2"/>
  <c r="E49" i="2"/>
  <c r="D45" i="2"/>
  <c r="D7" i="2"/>
</calcChain>
</file>

<file path=xl/sharedStrings.xml><?xml version="1.0" encoding="utf-8"?>
<sst xmlns="http://schemas.openxmlformats.org/spreadsheetml/2006/main" count="176" uniqueCount="86">
  <si>
    <t>分辨率</t>
    <phoneticPr fontId="1" type="noConversion"/>
  </si>
  <si>
    <t>x</t>
    <phoneticPr fontId="1" type="noConversion"/>
  </si>
  <si>
    <t>y</t>
    <phoneticPr fontId="1" type="noConversion"/>
  </si>
  <si>
    <t>Win</t>
    <phoneticPr fontId="1" type="noConversion"/>
  </si>
  <si>
    <t>mac</t>
    <phoneticPr fontId="1" type="noConversion"/>
  </si>
  <si>
    <t>基本：</t>
    <phoneticPr fontId="1" type="noConversion"/>
  </si>
  <si>
    <t>Max</t>
    <phoneticPr fontId="3" type="noConversion"/>
  </si>
  <si>
    <t>x</t>
    <phoneticPr fontId="3" type="noConversion"/>
  </si>
  <si>
    <t>y</t>
    <phoneticPr fontId="3" type="noConversion"/>
  </si>
  <si>
    <t>居中：</t>
    <phoneticPr fontId="1" type="noConversion"/>
  </si>
  <si>
    <t>靠右：</t>
    <phoneticPr fontId="1" type="noConversion"/>
  </si>
  <si>
    <t>靠左：</t>
    <phoneticPr fontId="1" type="noConversion"/>
  </si>
  <si>
    <t>16/9 Win</t>
    <phoneticPr fontId="1" type="noConversion"/>
  </si>
  <si>
    <t>屏幕高度</t>
    <phoneticPr fontId="1" type="noConversion"/>
  </si>
  <si>
    <t>「開始遊戲」按鈕</t>
    <phoneticPr fontId="3" type="noConversion"/>
  </si>
  <si>
    <t>魔盒材料</t>
    <phoneticPr fontId="3" type="noConversion"/>
  </si>
  <si>
    <t>魔盒升級、接受</t>
    <phoneticPr fontId="3" type="noConversion"/>
  </si>
  <si>
    <t>魔盒格子左上</t>
    <phoneticPr fontId="3" type="noConversion"/>
  </si>
  <si>
    <t>隨從圖標</t>
    <phoneticPr fontId="3" type="noConversion"/>
  </si>
  <si>
    <t>隨從解散</t>
    <phoneticPr fontId="3" type="noConversion"/>
  </si>
  <si>
    <t>flwer_icon</t>
    <phoneticPr fontId="3" type="noConversion"/>
  </si>
  <si>
    <t>flwer_dismiss</t>
    <phoneticPr fontId="3" type="noConversion"/>
  </si>
  <si>
    <t>mid</t>
    <phoneticPr fontId="3" type="noConversion"/>
  </si>
  <si>
    <t>grid_start</t>
    <phoneticPr fontId="3" type="noConversion"/>
  </si>
  <si>
    <t>grid_end</t>
    <phoneticPr fontId="3" type="noConversion"/>
  </si>
  <si>
    <t>leave_game</t>
    <phoneticPr fontId="3" type="noConversion"/>
  </si>
  <si>
    <t>start_game</t>
    <phoneticPr fontId="3" type="noConversion"/>
  </si>
  <si>
    <t>cube_meterial</t>
    <phoneticPr fontId="3" type="noConversion"/>
  </si>
  <si>
    <t>cube_grid_1</t>
    <phoneticPr fontId="3" type="noConversion"/>
  </si>
  <si>
    <t>mate_2_icon</t>
    <phoneticPr fontId="3" type="noConversion"/>
  </si>
  <si>
    <t>mate_2_tp</t>
    <phoneticPr fontId="3" type="noConversion"/>
  </si>
  <si>
    <t>a1_icon</t>
    <phoneticPr fontId="3" type="noConversion"/>
  </si>
  <si>
    <t>a1_town</t>
    <phoneticPr fontId="3" type="noConversion"/>
  </si>
  <si>
    <t>a2_icon</t>
    <phoneticPr fontId="3" type="noConversion"/>
  </si>
  <si>
    <t>a2_town</t>
    <phoneticPr fontId="3" type="noConversion"/>
  </si>
  <si>
    <t>cube_accept</t>
    <phoneticPr fontId="3" type="noConversion"/>
  </si>
  <si>
    <t>屏幕寬度</t>
    <phoneticPr fontId="1" type="noConversion"/>
  </si>
  <si>
    <t>屏幕中心</t>
    <phoneticPr fontId="1" type="noConversion"/>
  </si>
  <si>
    <t>橫縱比</t>
    <phoneticPr fontId="1" type="noConversion"/>
  </si>
  <si>
    <t>項目</t>
    <phoneticPr fontId="1" type="noConversion"/>
  </si>
  <si>
    <t>Win黑邊</t>
    <phoneticPr fontId="1" type="noConversion"/>
  </si>
  <si>
    <t>mac黑邊</t>
    <phoneticPr fontId="1" type="noConversion"/>
  </si>
  <si>
    <t>地圖 ACT 1 圖標</t>
  </si>
  <si>
    <t>地圖新崔斯特姆圖標</t>
  </si>
  <si>
    <t>地圖 ACT 2 圖標</t>
  </si>
  <si>
    <t>地圖秘密营地圖標</t>
  </si>
  <si>
    <t>巔峰「通用」頁標</t>
    <phoneticPr fontId="3" type="noConversion"/>
  </si>
  <si>
    <t>巔峰「防禦」頁標</t>
    <phoneticPr fontId="3" type="noConversion"/>
  </si>
  <si>
    <t>巔峰「進攻」頁標</t>
    <phoneticPr fontId="3" type="noConversion"/>
  </si>
  <si>
    <t>巔峰「核心」頁標</t>
    <phoneticPr fontId="3" type="noConversion"/>
  </si>
  <si>
    <t>巔峰「重置」按鈕</t>
    <phoneticPr fontId="3" type="noConversion"/>
  </si>
  <si>
    <t>巔峰「接受」按鈕</t>
    <phoneticPr fontId="3" type="noConversion"/>
  </si>
  <si>
    <t>背包左上格中心點</t>
    <phoneticPr fontId="1" type="noConversion"/>
  </si>
  <si>
    <t>背包右下格中心點</t>
    <phoneticPr fontId="1" type="noConversion"/>
  </si>
  <si>
    <t>「離開遊戲」按鈕</t>
    <phoneticPr fontId="3" type="noConversion"/>
  </si>
  <si>
    <t>隊友2頭像</t>
    <phoneticPr fontId="3" type="noConversion"/>
  </si>
  <si>
    <t>傳送到隊友2</t>
    <phoneticPr fontId="3" type="noConversion"/>
  </si>
  <si>
    <t>變量名</t>
    <phoneticPr fontId="1" type="noConversion"/>
  </si>
  <si>
    <t>巔峰加號1</t>
    <phoneticPr fontId="3" type="noConversion"/>
  </si>
  <si>
    <t>巔峰加號2</t>
  </si>
  <si>
    <t>巔峰加號3</t>
  </si>
  <si>
    <t>巔峰加號4</t>
  </si>
  <si>
    <t>x</t>
    <phoneticPr fontId="3" type="noConversion"/>
  </si>
  <si>
    <t>y</t>
    <phoneticPr fontId="3" type="noConversion"/>
  </si>
  <si>
    <t>p_tab</t>
    <phoneticPr fontId="3" type="noConversion"/>
  </si>
  <si>
    <t>p_add</t>
    <phoneticPr fontId="3" type="noConversion"/>
  </si>
  <si>
    <t>p_reset</t>
    <phoneticPr fontId="3" type="noConversion"/>
  </si>
  <si>
    <t>p_accept</t>
    <phoneticPr fontId="3" type="noConversion"/>
  </si>
  <si>
    <t>-- left</t>
    <phoneticPr fontId="3" type="noConversion"/>
  </si>
  <si>
    <t>-- right</t>
    <phoneticPr fontId="3" type="noConversion"/>
  </si>
  <si>
    <t>-- center</t>
    <phoneticPr fontId="3" type="noConversion"/>
  </si>
  <si>
    <t>[0] = { -- 16/9</t>
    <phoneticPr fontId="1" type="noConversion"/>
  </si>
  <si>
    <t>}</t>
    <phoneticPr fontId="1" type="noConversion"/>
  </si>
  <si>
    <t>=</t>
    <phoneticPr fontId="3" type="noConversion"/>
  </si>
  <si>
    <t>接受組隊邀請</t>
    <phoneticPr fontId="1" type="noConversion"/>
  </si>
  <si>
    <t>人物基點</t>
    <phoneticPr fontId="3" type="noConversion"/>
  </si>
  <si>
    <t>離開隊伍</t>
    <phoneticPr fontId="3" type="noConversion"/>
  </si>
  <si>
    <t>leave_team</t>
    <phoneticPr fontId="3" type="noConversion"/>
  </si>
  <si>
    <t>accept_invite</t>
    <phoneticPr fontId="3" type="noConversion"/>
  </si>
  <si>
    <t>role_ori</t>
    <phoneticPr fontId="3" type="noConversion"/>
  </si>
  <si>
    <t>--center</t>
    <phoneticPr fontId="3" type="noConversion"/>
  </si>
  <si>
    <t>1680/1050</t>
    <phoneticPr fontId="1" type="noConversion"/>
  </si>
  <si>
    <t>魔盒上一頁</t>
    <phoneticPr fontId="3" type="noConversion"/>
  </si>
  <si>
    <t>魔盒下一頁</t>
    <phoneticPr fontId="3" type="noConversion"/>
  </si>
  <si>
    <t>cube_previous</t>
    <phoneticPr fontId="3" type="noConversion"/>
  </si>
  <si>
    <t>cube_next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</si>
</sst>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7"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2"/>
      <color theme="0"/>
      <name val="等线"/>
      <family val="4"/>
      <charset val="134"/>
      <scheme val="minor"/>
    </font>
    <font>
      <b/>
      <sz val="12"/>
      <color theme="0" tint="-4.9989318521683403E-2"/>
      <name val="等线"/>
      <family val="4"/>
      <charset val="134"/>
      <scheme val="minor"/>
    </font>
    <font>
      <sz val="14"/>
      <color theme="0"/>
      <name val="等线"/>
      <family val="4"/>
      <charset val="134"/>
      <scheme val="minor"/>
    </font>
    <font>
      <b/>
      <sz val="14"/>
      <color theme="0"/>
      <name val="等线"/>
      <family val="4"/>
      <charset val="134"/>
      <scheme val="minor"/>
    </font>
    <font>
      <b/>
      <sz val="12"/>
      <name val="等线"/>
      <family val="4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Fill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left" vertical="center" indent="1"/>
    </xf>
    <xf numFmtId="1" fontId="0" fillId="4" borderId="0" xfId="0" quotePrefix="1" applyNumberFormat="1" applyFill="1" applyAlignment="1">
      <alignment horizontal="left" vertical="center" indent="1"/>
    </xf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 indent="2"/>
    </xf>
    <xf numFmtId="0" fontId="0" fillId="4" borderId="0" xfId="0" quotePrefix="1" applyFill="1" applyAlignment="1">
      <alignment horizontal="left" vertical="center" indent="2"/>
    </xf>
    <xf numFmtId="0" fontId="12" fillId="3" borderId="0" xfId="0" applyFont="1" applyFill="1" applyProtection="1">
      <alignment vertical="center"/>
    </xf>
    <xf numFmtId="0" fontId="13" fillId="3" borderId="0" xfId="0" applyFont="1" applyFill="1" applyAlignment="1" applyProtection="1">
      <alignment horizontal="center" vertical="center"/>
    </xf>
    <xf numFmtId="0" fontId="12" fillId="3" borderId="0" xfId="0" applyFont="1" applyFill="1" applyBorder="1" applyAlignment="1" applyProtection="1">
      <alignment vertical="center"/>
    </xf>
    <xf numFmtId="0" fontId="12" fillId="3" borderId="3" xfId="0" applyFont="1" applyFill="1" applyBorder="1" applyAlignment="1" applyProtection="1">
      <alignment vertical="center"/>
    </xf>
    <xf numFmtId="0" fontId="0" fillId="0" borderId="0" xfId="0" applyFill="1" applyProtection="1">
      <alignment vertical="center"/>
    </xf>
    <xf numFmtId="0" fontId="0" fillId="0" borderId="0" xfId="0" applyProtection="1">
      <alignment vertical="center"/>
    </xf>
    <xf numFmtId="0" fontId="9" fillId="3" borderId="0" xfId="0" applyFont="1" applyFill="1" applyProtection="1">
      <alignment vertical="center"/>
    </xf>
    <xf numFmtId="0" fontId="10" fillId="3" borderId="0" xfId="0" applyFont="1" applyFill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3" xfId="0" applyFont="1" applyFill="1" applyBorder="1" applyProtection="1">
      <alignment vertical="center"/>
    </xf>
    <xf numFmtId="0" fontId="9" fillId="3" borderId="0" xfId="0" applyFont="1" applyFill="1" applyAlignment="1" applyProtection="1">
      <alignment horizontal="right" vertical="center"/>
    </xf>
    <xf numFmtId="176" fontId="9" fillId="3" borderId="0" xfId="0" applyNumberFormat="1" applyFont="1" applyFill="1" applyBorder="1" applyAlignment="1" applyProtection="1">
      <alignment horizontal="right" vertical="center" indent="1"/>
    </xf>
    <xf numFmtId="176" fontId="9" fillId="3" borderId="0" xfId="0" applyNumberFormat="1" applyFont="1" applyFill="1" applyBorder="1" applyAlignment="1" applyProtection="1">
      <alignment horizontal="center" vertical="center"/>
    </xf>
    <xf numFmtId="176" fontId="9" fillId="3" borderId="3" xfId="0" applyNumberFormat="1" applyFont="1" applyFill="1" applyBorder="1" applyAlignment="1" applyProtection="1">
      <alignment vertical="center"/>
    </xf>
    <xf numFmtId="0" fontId="9" fillId="3" borderId="0" xfId="0" applyFont="1" applyFill="1" applyBorder="1" applyProtection="1">
      <alignment vertical="center"/>
    </xf>
    <xf numFmtId="0" fontId="10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vertical="center"/>
    </xf>
    <xf numFmtId="0" fontId="15" fillId="3" borderId="0" xfId="0" applyFont="1" applyFill="1" applyBorder="1" applyAlignment="1" applyProtection="1">
      <alignment horizontal="right" vertical="center" indent="1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vertical="center"/>
    </xf>
    <xf numFmtId="0" fontId="11" fillId="3" borderId="9" xfId="0" applyFont="1" applyFill="1" applyBorder="1" applyAlignment="1" applyProtection="1">
      <alignment horizontal="center" vertical="center"/>
    </xf>
    <xf numFmtId="0" fontId="11" fillId="3" borderId="10" xfId="0" applyFont="1" applyFill="1" applyBorder="1" applyAlignment="1" applyProtection="1">
      <alignment horizontal="center" vertical="center"/>
    </xf>
    <xf numFmtId="0" fontId="5" fillId="0" borderId="0" xfId="0" applyFont="1" applyFill="1" applyProtection="1">
      <alignment vertical="center"/>
    </xf>
    <xf numFmtId="0" fontId="6" fillId="4" borderId="1" xfId="0" applyFont="1" applyFill="1" applyBorder="1" applyProtection="1">
      <alignment vertical="center"/>
    </xf>
    <xf numFmtId="0" fontId="7" fillId="4" borderId="1" xfId="0" applyFont="1" applyFill="1" applyBorder="1" applyAlignment="1" applyProtection="1">
      <alignment horizontal="center" vertical="center"/>
    </xf>
    <xf numFmtId="0" fontId="6" fillId="4" borderId="5" xfId="0" applyFont="1" applyFill="1" applyBorder="1" applyProtection="1">
      <alignment vertical="center"/>
    </xf>
    <xf numFmtId="0" fontId="6" fillId="4" borderId="2" xfId="0" applyFont="1" applyFill="1" applyBorder="1" applyProtection="1">
      <alignment vertical="center"/>
    </xf>
    <xf numFmtId="0" fontId="6" fillId="0" borderId="0" xfId="0" applyFont="1" applyFill="1" applyProtection="1">
      <alignment vertical="center"/>
    </xf>
    <xf numFmtId="0" fontId="7" fillId="2" borderId="0" xfId="0" applyFont="1" applyFill="1" applyAlignment="1" applyProtection="1">
      <alignment horizontal="center" vertical="center"/>
    </xf>
    <xf numFmtId="9" fontId="6" fillId="2" borderId="0" xfId="1" applyFont="1" applyFill="1" applyBorder="1" applyProtection="1">
      <alignment vertical="center"/>
    </xf>
    <xf numFmtId="0" fontId="6" fillId="2" borderId="0" xfId="0" applyFont="1" applyFill="1" applyBorder="1" applyProtection="1">
      <alignment vertical="center"/>
    </xf>
    <xf numFmtId="0" fontId="6" fillId="2" borderId="4" xfId="0" applyFont="1" applyFill="1" applyBorder="1" applyProtection="1">
      <alignment vertical="center"/>
    </xf>
    <xf numFmtId="0" fontId="6" fillId="2" borderId="3" xfId="0" applyFont="1" applyFill="1" applyBorder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9" fontId="6" fillId="0" borderId="1" xfId="1" applyFont="1" applyFill="1" applyBorder="1" applyProtection="1">
      <alignment vertical="center"/>
    </xf>
    <xf numFmtId="0" fontId="6" fillId="0" borderId="0" xfId="0" applyFont="1" applyFill="1" applyBorder="1" applyProtection="1">
      <alignment vertical="center"/>
    </xf>
    <xf numFmtId="0" fontId="6" fillId="0" borderId="4" xfId="0" applyFont="1" applyFill="1" applyBorder="1" applyProtection="1">
      <alignment vertical="center"/>
    </xf>
    <xf numFmtId="0" fontId="6" fillId="0" borderId="3" xfId="0" applyFont="1" applyFill="1" applyBorder="1" applyProtection="1">
      <alignment vertical="center"/>
    </xf>
    <xf numFmtId="0" fontId="6" fillId="4" borderId="7" xfId="0" applyFont="1" applyFill="1" applyBorder="1" applyProtection="1">
      <alignment vertical="center"/>
    </xf>
    <xf numFmtId="0" fontId="7" fillId="4" borderId="7" xfId="0" applyFont="1" applyFill="1" applyBorder="1" applyAlignment="1" applyProtection="1">
      <alignment horizontal="center" vertical="center"/>
    </xf>
    <xf numFmtId="9" fontId="6" fillId="4" borderId="7" xfId="1" applyFont="1" applyFill="1" applyBorder="1" applyProtection="1">
      <alignment vertical="center"/>
    </xf>
    <xf numFmtId="0" fontId="8" fillId="4" borderId="7" xfId="0" applyFont="1" applyFill="1" applyBorder="1" applyProtection="1">
      <alignment vertical="center"/>
    </xf>
    <xf numFmtId="20" fontId="6" fillId="4" borderId="8" xfId="0" applyNumberFormat="1" applyFont="1" applyFill="1" applyBorder="1" applyProtection="1">
      <alignment vertical="center"/>
    </xf>
    <xf numFmtId="176" fontId="6" fillId="4" borderId="7" xfId="0" applyNumberFormat="1" applyFont="1" applyFill="1" applyBorder="1" applyProtection="1">
      <alignment vertical="center"/>
    </xf>
    <xf numFmtId="0" fontId="6" fillId="4" borderId="6" xfId="0" applyFont="1" applyFill="1" applyBorder="1" applyProtection="1">
      <alignment vertical="center"/>
    </xf>
    <xf numFmtId="1" fontId="6" fillId="2" borderId="0" xfId="0" applyNumberFormat="1" applyFont="1" applyFill="1" applyBorder="1" applyProtection="1">
      <alignment vertical="center"/>
    </xf>
    <xf numFmtId="1" fontId="6" fillId="2" borderId="4" xfId="0" applyNumberFormat="1" applyFont="1" applyFill="1" applyBorder="1" applyProtection="1">
      <alignment vertical="center"/>
    </xf>
    <xf numFmtId="9" fontId="6" fillId="0" borderId="0" xfId="1" applyFont="1" applyFill="1" applyBorder="1" applyProtection="1">
      <alignment vertical="center"/>
    </xf>
    <xf numFmtId="1" fontId="6" fillId="0" borderId="0" xfId="0" applyNumberFormat="1" applyFont="1" applyFill="1" applyBorder="1" applyProtection="1">
      <alignment vertical="center"/>
    </xf>
    <xf numFmtId="1" fontId="6" fillId="0" borderId="4" xfId="0" applyNumberFormat="1" applyFont="1" applyFill="1" applyBorder="1" applyProtection="1">
      <alignment vertical="center"/>
    </xf>
    <xf numFmtId="1" fontId="6" fillId="2" borderId="0" xfId="1" applyNumberFormat="1" applyFont="1" applyFill="1" applyBorder="1" applyProtection="1">
      <alignment vertical="center"/>
    </xf>
    <xf numFmtId="1" fontId="6" fillId="2" borderId="3" xfId="1" applyNumberFormat="1" applyFont="1" applyFill="1" applyBorder="1" applyProtection="1">
      <alignment vertical="center"/>
    </xf>
    <xf numFmtId="1" fontId="6" fillId="0" borderId="3" xfId="0" applyNumberFormat="1" applyFont="1" applyFill="1" applyBorder="1" applyProtection="1">
      <alignment vertical="center"/>
    </xf>
    <xf numFmtId="1" fontId="8" fillId="2" borderId="3" xfId="1" applyNumberFormat="1" applyFont="1" applyFill="1" applyBorder="1" applyProtection="1">
      <alignment vertical="center"/>
    </xf>
    <xf numFmtId="1" fontId="8" fillId="0" borderId="3" xfId="0" applyNumberFormat="1" applyFont="1" applyFill="1" applyBorder="1" applyProtection="1">
      <alignment vertical="center"/>
    </xf>
    <xf numFmtId="0" fontId="14" fillId="2" borderId="0" xfId="0" applyFont="1" applyFill="1" applyAlignment="1" applyProtection="1">
      <alignment horizontal="center" vertical="center"/>
    </xf>
    <xf numFmtId="9" fontId="8" fillId="2" borderId="0" xfId="1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1" fontId="8" fillId="2" borderId="4" xfId="0" applyNumberFormat="1" applyFont="1" applyFill="1" applyBorder="1" applyProtection="1">
      <alignment vertical="center"/>
    </xf>
    <xf numFmtId="1" fontId="8" fillId="2" borderId="0" xfId="1" applyNumberFormat="1" applyFont="1" applyFill="1" applyBorder="1" applyProtection="1">
      <alignment vertical="center"/>
    </xf>
    <xf numFmtId="0" fontId="14" fillId="0" borderId="0" xfId="0" applyFont="1" applyFill="1" applyAlignment="1" applyProtection="1">
      <alignment horizontal="center" vertical="center"/>
    </xf>
    <xf numFmtId="9" fontId="8" fillId="0" borderId="0" xfId="1" applyFont="1" applyFill="1" applyBorder="1" applyProtection="1">
      <alignment vertical="center"/>
    </xf>
    <xf numFmtId="0" fontId="8" fillId="0" borderId="0" xfId="0" applyFont="1" applyFill="1" applyBorder="1" applyProtection="1">
      <alignment vertical="center"/>
    </xf>
    <xf numFmtId="1" fontId="8" fillId="0" borderId="4" xfId="0" applyNumberFormat="1" applyFont="1" applyFill="1" applyBorder="1" applyProtection="1">
      <alignment vertical="center"/>
    </xf>
    <xf numFmtId="1" fontId="8" fillId="0" borderId="0" xfId="0" applyNumberFormat="1" applyFont="1" applyFill="1" applyBorder="1" applyProtection="1">
      <alignment vertical="center"/>
    </xf>
    <xf numFmtId="0" fontId="14" fillId="4" borderId="7" xfId="0" applyFont="1" applyFill="1" applyBorder="1" applyAlignment="1" applyProtection="1">
      <alignment horizontal="center" vertical="center"/>
    </xf>
    <xf numFmtId="9" fontId="8" fillId="4" borderId="7" xfId="1" applyFont="1" applyFill="1" applyBorder="1" applyProtection="1">
      <alignment vertical="center"/>
    </xf>
    <xf numFmtId="0" fontId="8" fillId="4" borderId="8" xfId="0" applyFont="1" applyFill="1" applyBorder="1" applyProtection="1">
      <alignment vertical="center"/>
    </xf>
    <xf numFmtId="1" fontId="6" fillId="4" borderId="7" xfId="0" applyNumberFormat="1" applyFont="1" applyFill="1" applyBorder="1" applyProtection="1">
      <alignment vertical="center"/>
    </xf>
    <xf numFmtId="1" fontId="8" fillId="4" borderId="6" xfId="1" applyNumberFormat="1" applyFont="1" applyFill="1" applyBorder="1" applyProtection="1">
      <alignment vertical="center"/>
    </xf>
    <xf numFmtId="1" fontId="8" fillId="2" borderId="0" xfId="0" applyNumberFormat="1" applyFont="1" applyFill="1" applyBorder="1" applyProtection="1">
      <alignment vertical="center"/>
    </xf>
    <xf numFmtId="0" fontId="8" fillId="4" borderId="7" xfId="0" applyFont="1" applyFill="1" applyBorder="1" applyAlignment="1" applyProtection="1">
      <alignment horizontal="left" vertical="center"/>
    </xf>
    <xf numFmtId="1" fontId="8" fillId="4" borderId="6" xfId="0" applyNumberFormat="1" applyFont="1" applyFill="1" applyBorder="1" applyProtection="1">
      <alignment vertical="center"/>
    </xf>
    <xf numFmtId="0" fontId="14" fillId="2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Protection="1">
      <alignment vertical="center"/>
    </xf>
    <xf numFmtId="0" fontId="8" fillId="2" borderId="3" xfId="0" applyFont="1" applyFill="1" applyBorder="1" applyProtection="1">
      <alignment vertical="center"/>
    </xf>
    <xf numFmtId="0" fontId="8" fillId="0" borderId="3" xfId="0" applyFont="1" applyFill="1" applyBorder="1" applyProtection="1">
      <alignment vertical="center"/>
    </xf>
    <xf numFmtId="0" fontId="14" fillId="0" borderId="1" xfId="0" applyFont="1" applyFill="1" applyBorder="1" applyAlignment="1" applyProtection="1">
      <alignment horizontal="center" vertical="center"/>
    </xf>
    <xf numFmtId="9" fontId="8" fillId="0" borderId="1" xfId="1" applyFont="1" applyFill="1" applyBorder="1" applyProtection="1">
      <alignment vertical="center"/>
    </xf>
    <xf numFmtId="0" fontId="8" fillId="0" borderId="1" xfId="0" applyFont="1" applyFill="1" applyBorder="1" applyProtection="1">
      <alignment vertical="center"/>
    </xf>
    <xf numFmtId="1" fontId="8" fillId="0" borderId="5" xfId="0" applyNumberFormat="1" applyFont="1" applyFill="1" applyBorder="1" applyProtection="1">
      <alignment vertical="center"/>
    </xf>
    <xf numFmtId="1" fontId="8" fillId="0" borderId="1" xfId="0" applyNumberFormat="1" applyFont="1" applyFill="1" applyBorder="1" applyProtection="1">
      <alignment vertical="center"/>
    </xf>
    <xf numFmtId="1" fontId="6" fillId="0" borderId="1" xfId="0" applyNumberFormat="1" applyFont="1" applyFill="1" applyBorder="1" applyProtection="1">
      <alignment vertical="center"/>
    </xf>
    <xf numFmtId="1" fontId="8" fillId="0" borderId="2" xfId="0" applyNumberFormat="1" applyFont="1" applyFill="1" applyBorder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1" fontId="8" fillId="2" borderId="3" xfId="0" applyNumberFormat="1" applyFont="1" applyFill="1" applyBorder="1" applyProtection="1">
      <alignment vertical="center"/>
    </xf>
    <xf numFmtId="1" fontId="0" fillId="0" borderId="0" xfId="0" applyNumberFormat="1" applyFill="1" applyProtection="1">
      <alignment vertical="center"/>
    </xf>
    <xf numFmtId="0" fontId="6" fillId="0" borderId="0" xfId="0" applyFont="1" applyFill="1" applyAlignment="1" applyProtection="1">
      <alignment horizontal="left" vertical="center" indent="1"/>
    </xf>
    <xf numFmtId="0" fontId="8" fillId="0" borderId="0" xfId="0" applyFont="1" applyFill="1" applyAlignment="1" applyProtection="1">
      <alignment horizontal="left" vertical="center"/>
    </xf>
    <xf numFmtId="0" fontId="8" fillId="0" borderId="0" xfId="0" applyFont="1" applyFill="1" applyAlignment="1" applyProtection="1">
      <alignment horizontal="left" vertical="center" indent="1"/>
    </xf>
    <xf numFmtId="0" fontId="8" fillId="0" borderId="1" xfId="0" applyFont="1" applyFill="1" applyBorder="1" applyAlignment="1" applyProtection="1">
      <alignment horizontal="left" vertical="center" indent="1"/>
    </xf>
    <xf numFmtId="0" fontId="6" fillId="0" borderId="0" xfId="0" applyFont="1" applyFill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left" vertical="center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11" fillId="3" borderId="9" xfId="0" applyFont="1" applyFill="1" applyBorder="1" applyAlignment="1" applyProtection="1">
      <alignment horizontal="center" vertical="center"/>
    </xf>
    <xf numFmtId="0" fontId="11" fillId="3" borderId="1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right" vertical="center"/>
    </xf>
    <xf numFmtId="0" fontId="6" fillId="0" borderId="0" xfId="0" applyFont="1" applyFill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/>
    </xf>
    <xf numFmtId="0" fontId="16" fillId="5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927F-EAA7-F24B-A136-28B708616A4E}">
  <dimension ref="A1:P73"/>
  <sheetViews>
    <sheetView workbookViewId="0">
      <pane ySplit="5" topLeftCell="A19" activePane="bottomLeft" state="frozen"/>
      <selection pane="bottomLeft" activeCell="G63" sqref="G63"/>
    </sheetView>
  </sheetViews>
  <sheetFormatPr baseColWidth="10" defaultColWidth="8.83203125" defaultRowHeight="15"/>
  <cols>
    <col min="1" max="1" width="20.1640625" style="18" customWidth="1"/>
    <col min="2" max="2" width="15.6640625" style="18" customWidth="1"/>
    <col min="3" max="3" width="5.83203125" style="99" customWidth="1"/>
    <col min="4" max="4" width="7.1640625" style="100" customWidth="1"/>
    <col min="5" max="5" width="7.33203125" style="18" customWidth="1"/>
    <col min="6" max="6" width="10.6640625" style="18" customWidth="1"/>
    <col min="7" max="7" width="9.6640625" style="18" customWidth="1"/>
    <col min="8" max="9" width="11.33203125" style="18" customWidth="1"/>
    <col min="10" max="11" width="8.83203125" style="18"/>
    <col min="12" max="16" width="8.83203125" style="19"/>
    <col min="17" max="16384" width="8.83203125" style="18"/>
  </cols>
  <sheetData>
    <row r="1" spans="1:9" ht="50" customHeight="1">
      <c r="A1" s="14"/>
      <c r="B1" s="14"/>
      <c r="C1" s="15"/>
      <c r="D1" s="16"/>
      <c r="E1" s="17"/>
      <c r="F1" s="110" t="s">
        <v>81</v>
      </c>
      <c r="G1" s="110"/>
      <c r="H1" s="110"/>
      <c r="I1" s="111"/>
    </row>
    <row r="2" spans="1:9" ht="16">
      <c r="A2" s="20"/>
      <c r="B2" s="20"/>
      <c r="C2" s="21"/>
      <c r="D2" s="22"/>
      <c r="E2" s="23"/>
      <c r="F2" s="24" t="s">
        <v>38</v>
      </c>
      <c r="G2" s="25" t="s">
        <v>73</v>
      </c>
      <c r="H2" s="26">
        <f>H3/H4</f>
        <v>1.6</v>
      </c>
      <c r="I2" s="27"/>
    </row>
    <row r="3" spans="1:9" ht="16">
      <c r="A3" s="28"/>
      <c r="B3" s="28"/>
      <c r="C3" s="29"/>
      <c r="D3" s="30"/>
      <c r="E3" s="23"/>
      <c r="F3" s="114" t="s">
        <v>0</v>
      </c>
      <c r="G3" s="31" t="s">
        <v>62</v>
      </c>
      <c r="H3" s="32">
        <f>VALUE(LEFT(F$1,FIND("/",F$1)-1))</f>
        <v>1680</v>
      </c>
      <c r="I3" s="33"/>
    </row>
    <row r="4" spans="1:9" ht="16">
      <c r="A4" s="28"/>
      <c r="B4" s="22"/>
      <c r="C4" s="29"/>
      <c r="D4" s="30"/>
      <c r="E4" s="23"/>
      <c r="F4" s="114"/>
      <c r="G4" s="31" t="s">
        <v>63</v>
      </c>
      <c r="H4" s="32">
        <f>VALUE(RIGHT(F$1,FIND("/",F$1)-1))</f>
        <v>1050</v>
      </c>
      <c r="I4" s="33"/>
    </row>
    <row r="5" spans="1:9" s="36" customFormat="1" ht="34.5" customHeight="1" thickBot="1">
      <c r="A5" s="34" t="s">
        <v>39</v>
      </c>
      <c r="B5" s="34" t="s">
        <v>57</v>
      </c>
      <c r="C5" s="34"/>
      <c r="D5" s="112" t="s">
        <v>12</v>
      </c>
      <c r="E5" s="113"/>
      <c r="F5" s="34" t="s">
        <v>3</v>
      </c>
      <c r="G5" s="34" t="s">
        <v>4</v>
      </c>
      <c r="H5" s="34" t="s">
        <v>40</v>
      </c>
      <c r="I5" s="35" t="s">
        <v>41</v>
      </c>
    </row>
    <row r="6" spans="1:9" ht="16">
      <c r="A6" s="37" t="s">
        <v>5</v>
      </c>
      <c r="B6" s="38"/>
      <c r="C6" s="38"/>
      <c r="D6" s="37"/>
      <c r="E6" s="37"/>
      <c r="F6" s="39"/>
      <c r="G6" s="37"/>
      <c r="H6" s="37"/>
      <c r="I6" s="40"/>
    </row>
    <row r="7" spans="1:9" ht="16">
      <c r="A7" s="41" t="s">
        <v>36</v>
      </c>
      <c r="B7" s="103" t="s">
        <v>6</v>
      </c>
      <c r="C7" s="42" t="s">
        <v>7</v>
      </c>
      <c r="D7" s="43">
        <f>E7/65535</f>
        <v>1</v>
      </c>
      <c r="E7" s="44">
        <v>65535</v>
      </c>
      <c r="F7" s="45">
        <v>65535</v>
      </c>
      <c r="G7" s="44">
        <f>D7*$H$3</f>
        <v>1680</v>
      </c>
      <c r="H7" s="44">
        <f>IF(H$2&lt;16/9,F7,"")</f>
        <v>65535</v>
      </c>
      <c r="I7" s="46">
        <f>IF(H$2&lt;16/9,G7,"")</f>
        <v>1680</v>
      </c>
    </row>
    <row r="8" spans="1:9" ht="16">
      <c r="A8" s="41" t="s">
        <v>13</v>
      </c>
      <c r="B8" s="103"/>
      <c r="C8" s="47" t="s">
        <v>8</v>
      </c>
      <c r="D8" s="48">
        <f>E8/65535</f>
        <v>1</v>
      </c>
      <c r="E8" s="49">
        <v>65535</v>
      </c>
      <c r="F8" s="50">
        <v>65535</v>
      </c>
      <c r="G8" s="49">
        <f>D8*$H$4</f>
        <v>1050</v>
      </c>
      <c r="H8" s="49">
        <f>IF(H$2&lt;16/9,F8,"")</f>
        <v>65535</v>
      </c>
      <c r="I8" s="51">
        <f>IF(H$2&lt;16/9,G8,"")</f>
        <v>1050</v>
      </c>
    </row>
    <row r="9" spans="1:9" ht="16">
      <c r="A9" s="52" t="s">
        <v>9</v>
      </c>
      <c r="B9" s="53"/>
      <c r="C9" s="53"/>
      <c r="D9" s="54"/>
      <c r="E9" s="55"/>
      <c r="F9" s="56"/>
      <c r="G9" s="57"/>
      <c r="H9" s="52"/>
      <c r="I9" s="58"/>
    </row>
    <row r="10" spans="1:9" ht="16">
      <c r="A10" s="107" t="s">
        <v>37</v>
      </c>
      <c r="B10" s="103" t="s">
        <v>22</v>
      </c>
      <c r="C10" s="42" t="s">
        <v>7</v>
      </c>
      <c r="D10" s="43">
        <f t="shared" ref="D10:D41" si="0">E10/65535</f>
        <v>0.5</v>
      </c>
      <c r="E10" s="59">
        <f>0.5*E7</f>
        <v>32767.5</v>
      </c>
      <c r="F10" s="60">
        <f>0.5*F7</f>
        <v>32767.5</v>
      </c>
      <c r="G10" s="44">
        <f>D10*$H$3</f>
        <v>840</v>
      </c>
      <c r="H10" s="59">
        <f>IF(H$2&lt;16/9,F10,"")</f>
        <v>32767.5</v>
      </c>
      <c r="I10" s="46">
        <f>IF(H$2&lt;16/9,G10,"")</f>
        <v>840</v>
      </c>
    </row>
    <row r="11" spans="1:9" ht="16">
      <c r="A11" s="107"/>
      <c r="B11" s="103"/>
      <c r="C11" s="47" t="s">
        <v>8</v>
      </c>
      <c r="D11" s="61">
        <f t="shared" si="0"/>
        <v>0.5</v>
      </c>
      <c r="E11" s="62">
        <f>0.5*E8</f>
        <v>32767.5</v>
      </c>
      <c r="F11" s="63">
        <f>0.5*F8</f>
        <v>32767.5</v>
      </c>
      <c r="G11" s="49">
        <f>D11*$H$4</f>
        <v>525</v>
      </c>
      <c r="H11" s="62">
        <f>IF(H$2&lt;16/9,F11,"")</f>
        <v>32767.5</v>
      </c>
      <c r="I11" s="51">
        <f>IF(H$2&lt;16/9,G11,"")</f>
        <v>525</v>
      </c>
    </row>
    <row r="12" spans="1:9" ht="16">
      <c r="A12" s="107" t="s">
        <v>46</v>
      </c>
      <c r="B12" s="103" t="s">
        <v>64</v>
      </c>
      <c r="C12" s="42" t="s">
        <v>7</v>
      </c>
      <c r="D12" s="43">
        <f t="shared" si="0"/>
        <v>0.31787594415197984</v>
      </c>
      <c r="E12" s="44">
        <v>20832</v>
      </c>
      <c r="F12" s="60">
        <f>(H$3/2-H$4/9*(8-E12/65535*16))*65535/H$3</f>
        <v>19505.833333333332</v>
      </c>
      <c r="G12" s="64">
        <f>H$3/2-H$4/9*(8-E12/65535*16)</f>
        <v>500.03509575036236</v>
      </c>
      <c r="H12" s="59">
        <f>IF(H$2&lt;16/9,E12,"")</f>
        <v>20832</v>
      </c>
      <c r="I12" s="65">
        <f>IF(H$2&lt;16/9,D12*H$3,"")</f>
        <v>534.03158617532608</v>
      </c>
    </row>
    <row r="13" spans="1:9" ht="16">
      <c r="A13" s="107"/>
      <c r="B13" s="103"/>
      <c r="C13" s="47" t="s">
        <v>8</v>
      </c>
      <c r="D13" s="61">
        <f t="shared" si="0"/>
        <v>0.10376134889753567</v>
      </c>
      <c r="E13" s="49">
        <v>6800</v>
      </c>
      <c r="F13" s="63">
        <f>E13</f>
        <v>6800</v>
      </c>
      <c r="G13" s="62">
        <f>D13*$H$4</f>
        <v>108.94941634241246</v>
      </c>
      <c r="H13" s="62">
        <f>IF(H$2&lt;16/9,(18*H$3*E13+(16*H$4-9*H$3)*65535)/(32*H$4),"")</f>
        <v>9396.75</v>
      </c>
      <c r="I13" s="66">
        <f>IF(H$2&lt;16/9,(18*H$3*E13+(16*H$4-9*H$3)*65535)/(32*65535),"")</f>
        <v>150.5544747081712</v>
      </c>
    </row>
    <row r="14" spans="1:9" ht="16">
      <c r="A14" s="107" t="s">
        <v>47</v>
      </c>
      <c r="B14" s="103"/>
      <c r="C14" s="42" t="s">
        <v>7</v>
      </c>
      <c r="D14" s="43">
        <f t="shared" si="0"/>
        <v>0.4366826886396582</v>
      </c>
      <c r="E14" s="44">
        <v>28618</v>
      </c>
      <c r="F14" s="60">
        <f>(H$3/2-H$4/9*(8-E14/65535*16))*65535/H$3</f>
        <v>28156.944444444449</v>
      </c>
      <c r="G14" s="64">
        <f>H$3/2-H$4/9*(8-E14/65535*16)</f>
        <v>721.80768546069532</v>
      </c>
      <c r="H14" s="59">
        <f>IF(H$2&lt;16/9,E14,"")</f>
        <v>28618</v>
      </c>
      <c r="I14" s="65">
        <f>IF(H$2&lt;16/9,D14*H$3,"")</f>
        <v>733.62691691462578</v>
      </c>
    </row>
    <row r="15" spans="1:9" ht="16">
      <c r="A15" s="107"/>
      <c r="B15" s="103"/>
      <c r="C15" s="47" t="s">
        <v>8</v>
      </c>
      <c r="D15" s="61">
        <f t="shared" si="0"/>
        <v>0.10376134889753567</v>
      </c>
      <c r="E15" s="49">
        <v>6800</v>
      </c>
      <c r="F15" s="63">
        <f>E15</f>
        <v>6800</v>
      </c>
      <c r="G15" s="62">
        <f>D15*$H$4</f>
        <v>108.94941634241246</v>
      </c>
      <c r="H15" s="62">
        <f>IF(H$2&lt;16/9,(18*H$3*E15+(16*H$4-9*H$3)*65535)/(32*H$4),"")</f>
        <v>9396.75</v>
      </c>
      <c r="I15" s="66">
        <f>IF(H$2&lt;16/9,(18*H$3*E15+(16*H$4-9*H$3)*65535)/(32*65535),"")</f>
        <v>150.5544747081712</v>
      </c>
    </row>
    <row r="16" spans="1:9" ht="16">
      <c r="A16" s="107" t="s">
        <v>48</v>
      </c>
      <c r="B16" s="103"/>
      <c r="C16" s="42" t="s">
        <v>7</v>
      </c>
      <c r="D16" s="43">
        <f t="shared" si="0"/>
        <v>0.55809872587167164</v>
      </c>
      <c r="E16" s="44">
        <v>36575</v>
      </c>
      <c r="F16" s="60">
        <f>(H$3/2-H$4/9*(8-E16/65535*16))*65535/H$3</f>
        <v>36998.055555555555</v>
      </c>
      <c r="G16" s="64">
        <f>H$3/2-H$4/9*(8-E16/65535*16)</f>
        <v>948.45095496045371</v>
      </c>
      <c r="H16" s="59">
        <f>IF(H$2&lt;16/9,E16,"")</f>
        <v>36575</v>
      </c>
      <c r="I16" s="65">
        <f>IF(H$2&lt;16/9,D16*H$3,"")</f>
        <v>937.60585946440835</v>
      </c>
    </row>
    <row r="17" spans="1:9" ht="16">
      <c r="A17" s="107"/>
      <c r="B17" s="103"/>
      <c r="C17" s="47" t="s">
        <v>8</v>
      </c>
      <c r="D17" s="61">
        <f t="shared" si="0"/>
        <v>0.10376134889753567</v>
      </c>
      <c r="E17" s="49">
        <v>6800</v>
      </c>
      <c r="F17" s="63">
        <f>E17</f>
        <v>6800</v>
      </c>
      <c r="G17" s="62">
        <f>D17*$H$4</f>
        <v>108.94941634241246</v>
      </c>
      <c r="H17" s="62">
        <f>IF(H$2&lt;16/9,(18*H$3*E17+(16*H$4-9*H$3)*65535)/(32*H$4),"")</f>
        <v>9396.75</v>
      </c>
      <c r="I17" s="66">
        <f>IF(H$2&lt;16/9,(18*H$3*E17+(16*H$4-9*H$3)*65535)/(32*65535),"")</f>
        <v>150.5544747081712</v>
      </c>
    </row>
    <row r="18" spans="1:9" ht="16">
      <c r="A18" s="107" t="s">
        <v>49</v>
      </c>
      <c r="B18" s="103"/>
      <c r="C18" s="42" t="s">
        <v>7</v>
      </c>
      <c r="D18" s="43">
        <f t="shared" si="0"/>
        <v>0.68056763561455713</v>
      </c>
      <c r="E18" s="44">
        <v>44601</v>
      </c>
      <c r="F18" s="60">
        <f>(H$3/2-H$4/9*(8-E18/65535*16))*65535/H$3</f>
        <v>45915.833333333336</v>
      </c>
      <c r="G18" s="64">
        <f>H$3/2-H$4/9*(8-E18/65535*16)</f>
        <v>1177.0595864805066</v>
      </c>
      <c r="H18" s="59">
        <f>IF(H$2&lt;16/9,E18,"")</f>
        <v>44601</v>
      </c>
      <c r="I18" s="65">
        <f>IF(H$2&lt;16/9,D18*H$3,"")</f>
        <v>1143.3536278324559</v>
      </c>
    </row>
    <row r="19" spans="1:9" ht="16">
      <c r="A19" s="107"/>
      <c r="B19" s="103"/>
      <c r="C19" s="47" t="s">
        <v>8</v>
      </c>
      <c r="D19" s="61">
        <f t="shared" si="0"/>
        <v>0.10376134889753567</v>
      </c>
      <c r="E19" s="49">
        <v>6800</v>
      </c>
      <c r="F19" s="63">
        <f>E19</f>
        <v>6800</v>
      </c>
      <c r="G19" s="62">
        <f>D19*$H$4</f>
        <v>108.94941634241246</v>
      </c>
      <c r="H19" s="62">
        <f>IF(H$2&lt;16/9,(18*H$3*E19+(16*H$4-9*H$3)*65535)/(32*H$4),"")</f>
        <v>9396.75</v>
      </c>
      <c r="I19" s="66">
        <f>IF(H$2&lt;16/9,(18*H$3*E19+(16*H$4-9*H$3)*65535)/(32*65535),"")</f>
        <v>150.5544747081712</v>
      </c>
    </row>
    <row r="20" spans="1:9" ht="15.75" customHeight="1">
      <c r="A20" s="115" t="s">
        <v>58</v>
      </c>
      <c r="B20" s="103" t="s">
        <v>65</v>
      </c>
      <c r="C20" s="42" t="s">
        <v>7</v>
      </c>
      <c r="D20" s="43">
        <f t="shared" si="0"/>
        <v>0.66376745250629432</v>
      </c>
      <c r="E20" s="44">
        <v>43500</v>
      </c>
      <c r="F20" s="60">
        <f>(H$3/2-H$4/9*(8-E20/65535*16))*65535/H$3</f>
        <v>44692.5</v>
      </c>
      <c r="G20" s="64">
        <f>H$3/2-H$4/9*(8-E20/65535*16)</f>
        <v>1145.6992446784161</v>
      </c>
      <c r="H20" s="59">
        <f>IF(H$2&lt;16/9,E20,"")</f>
        <v>43500</v>
      </c>
      <c r="I20" s="65">
        <f>IF(H$2&lt;16/9,D20*H$3,"")</f>
        <v>1115.1293202105744</v>
      </c>
    </row>
    <row r="21" spans="1:9" ht="16">
      <c r="A21" s="115"/>
      <c r="B21" s="103"/>
      <c r="C21" s="47" t="s">
        <v>8</v>
      </c>
      <c r="D21" s="61">
        <f t="shared" si="0"/>
        <v>0.56719310292210268</v>
      </c>
      <c r="E21" s="49">
        <v>37171</v>
      </c>
      <c r="F21" s="63">
        <f>E21</f>
        <v>37171</v>
      </c>
      <c r="G21" s="62">
        <f>D21*$H$4</f>
        <v>595.55275806820782</v>
      </c>
      <c r="H21" s="62">
        <f>IF(H$2&lt;16/9,(18*H$3*E21+(16*H$4-9*H$3)*65535)/(32*H$4),"")</f>
        <v>36730.65</v>
      </c>
      <c r="I21" s="66">
        <f>IF(H$2&lt;16/9,(18*H$3*E21+(16*H$4-9*H$3)*65535)/(32*65535),"")</f>
        <v>588.49748226138706</v>
      </c>
    </row>
    <row r="22" spans="1:9" ht="16">
      <c r="A22" s="115" t="s">
        <v>59</v>
      </c>
      <c r="B22" s="103"/>
      <c r="C22" s="42" t="s">
        <v>7</v>
      </c>
      <c r="D22" s="43">
        <f t="shared" si="0"/>
        <v>0.66376745250629432</v>
      </c>
      <c r="E22" s="44">
        <v>43500</v>
      </c>
      <c r="F22" s="60">
        <f>(H$3/2-H$4/9*(8-E22/65535*16))*65535/H$3</f>
        <v>44692.5</v>
      </c>
      <c r="G22" s="64">
        <f>H$3/2-H$4/9*(8-E22/65535*16)</f>
        <v>1145.6992446784161</v>
      </c>
      <c r="H22" s="59">
        <f>IF(H$2&lt;16/9,E22,"")</f>
        <v>43500</v>
      </c>
      <c r="I22" s="65">
        <f>IF(H$2&lt;16/9,D22*H$3,"")</f>
        <v>1115.1293202105744</v>
      </c>
    </row>
    <row r="23" spans="1:9" ht="16">
      <c r="A23" s="115"/>
      <c r="B23" s="103"/>
      <c r="C23" s="47" t="s">
        <v>8</v>
      </c>
      <c r="D23" s="61">
        <f t="shared" si="0"/>
        <v>0.48099488822766462</v>
      </c>
      <c r="E23" s="49">
        <v>31522</v>
      </c>
      <c r="F23" s="63">
        <f>E23</f>
        <v>31522</v>
      </c>
      <c r="G23" s="62">
        <f>D23*$H$4</f>
        <v>505.04463263904785</v>
      </c>
      <c r="H23" s="62">
        <f>IF(H$2&lt;16/9,(18*H$3*E23+(16*H$4-9*H$3)*65535)/(32*H$4),"")</f>
        <v>31646.55</v>
      </c>
      <c r="I23" s="66">
        <f>IF(H$2&lt;16/9,(18*H$3*E23+(16*H$4-9*H$3)*65535)/(32*65535),"")</f>
        <v>507.04016937514308</v>
      </c>
    </row>
    <row r="24" spans="1:9" ht="16">
      <c r="A24" s="115" t="s">
        <v>60</v>
      </c>
      <c r="B24" s="103"/>
      <c r="C24" s="42" t="s">
        <v>7</v>
      </c>
      <c r="D24" s="43">
        <f t="shared" si="0"/>
        <v>0.66376745250629432</v>
      </c>
      <c r="E24" s="44">
        <v>43500</v>
      </c>
      <c r="F24" s="60">
        <f>(H$3/2-H$4/9*(8-E24/65535*16))*65535/H$3</f>
        <v>44692.5</v>
      </c>
      <c r="G24" s="64">
        <f>H$3/2-H$4/9*(8-E24/65535*16)</f>
        <v>1145.6992446784161</v>
      </c>
      <c r="H24" s="59">
        <f>IF(H$2&lt;16/9,E24,"")</f>
        <v>43500</v>
      </c>
      <c r="I24" s="65">
        <f>IF(H$2&lt;16/9,D24*H$3,"")</f>
        <v>1115.1293202105744</v>
      </c>
    </row>
    <row r="25" spans="1:9" ht="16">
      <c r="A25" s="115"/>
      <c r="B25" s="103"/>
      <c r="C25" s="47" t="s">
        <v>8</v>
      </c>
      <c r="D25" s="61">
        <f t="shared" si="0"/>
        <v>0.39758907454032194</v>
      </c>
      <c r="E25" s="49">
        <v>26056</v>
      </c>
      <c r="F25" s="63">
        <f>E25</f>
        <v>26056</v>
      </c>
      <c r="G25" s="62">
        <f>D25*$H$4</f>
        <v>417.46852826733806</v>
      </c>
      <c r="H25" s="62">
        <f>IF(H$2&lt;16/9,(18*H$3*E25+(16*H$4-9*H$3)*65535)/(32*H$4),"")</f>
        <v>26727.15</v>
      </c>
      <c r="I25" s="66">
        <f>IF(H$2&lt;16/9,(18*H$3*E25+(16*H$4-9*H$3)*65535)/(32*65535),"")</f>
        <v>428.22167544060426</v>
      </c>
    </row>
    <row r="26" spans="1:9" ht="16">
      <c r="A26" s="115" t="s">
        <v>61</v>
      </c>
      <c r="B26" s="103"/>
      <c r="C26" s="42" t="s">
        <v>7</v>
      </c>
      <c r="D26" s="43">
        <f t="shared" si="0"/>
        <v>0.66376745250629432</v>
      </c>
      <c r="E26" s="44">
        <v>43500</v>
      </c>
      <c r="F26" s="60">
        <f>(H$3/2-H$4/9*(8-E26/65535*16))*65535/H$3</f>
        <v>44692.5</v>
      </c>
      <c r="G26" s="64">
        <f>H$3/2-H$4/9*(8-E26/65535*16)</f>
        <v>1145.6992446784161</v>
      </c>
      <c r="H26" s="59">
        <f>IF(H$2&lt;16/9,E26,"")</f>
        <v>43500</v>
      </c>
      <c r="I26" s="65">
        <f>IF(H$2&lt;16/9,D26*H$3,"")</f>
        <v>1115.1293202105744</v>
      </c>
    </row>
    <row r="27" spans="1:9" ht="16">
      <c r="A27" s="115"/>
      <c r="B27" s="103"/>
      <c r="C27" s="47" t="s">
        <v>8</v>
      </c>
      <c r="D27" s="61">
        <f t="shared" si="0"/>
        <v>0.3104753185320821</v>
      </c>
      <c r="E27" s="49">
        <v>20347</v>
      </c>
      <c r="F27" s="63">
        <f>E27</f>
        <v>20347</v>
      </c>
      <c r="G27" s="62">
        <f>D27*$H$4</f>
        <v>325.99908445868618</v>
      </c>
      <c r="H27" s="62">
        <f>IF(H$2&lt;16/9,(18*H$3*E27+(16*H$4-9*H$3)*65535)/(32*H$4),"")</f>
        <v>21589.05</v>
      </c>
      <c r="I27" s="66">
        <f>IF(H$2&lt;16/9,(18*H$3*E27+(16*H$4-9*H$3)*65535)/(32*65535),"")</f>
        <v>345.89917601281758</v>
      </c>
    </row>
    <row r="28" spans="1:9" ht="16">
      <c r="A28" s="107" t="s">
        <v>50</v>
      </c>
      <c r="B28" s="103" t="s">
        <v>66</v>
      </c>
      <c r="C28" s="42" t="s">
        <v>7</v>
      </c>
      <c r="D28" s="43">
        <f t="shared" si="0"/>
        <v>0.50078583962767986</v>
      </c>
      <c r="E28" s="44">
        <v>32819</v>
      </c>
      <c r="F28" s="60">
        <f>(H$3/2-H$4/9*(8-E28/65535*16))*65535/H$3</f>
        <v>32824.722222222226</v>
      </c>
      <c r="G28" s="64">
        <f>H$3/2-H$4/9*(8-E28/65535*16)</f>
        <v>841.4669006383358</v>
      </c>
      <c r="H28" s="59">
        <f>IF(H$2&lt;16/9,E28,"")</f>
        <v>32819</v>
      </c>
      <c r="I28" s="65">
        <f>IF(H$2&lt;16/9,D28*H$3,"")</f>
        <v>841.3202105745022</v>
      </c>
    </row>
    <row r="29" spans="1:9" ht="16">
      <c r="A29" s="107"/>
      <c r="B29" s="103"/>
      <c r="C29" s="47" t="s">
        <v>8</v>
      </c>
      <c r="D29" s="61">
        <f t="shared" si="0"/>
        <v>0.67933165484092473</v>
      </c>
      <c r="E29" s="49">
        <v>44520</v>
      </c>
      <c r="F29" s="63">
        <f>E29</f>
        <v>44520</v>
      </c>
      <c r="G29" s="62">
        <f>D29*$H$4</f>
        <v>713.29823758297096</v>
      </c>
      <c r="H29" s="62">
        <f>IF(H$2&lt;16/9,(18*H$3*E29+(16*H$4-9*H$3)*65535)/(32*H$4),"")</f>
        <v>43344.75</v>
      </c>
      <c r="I29" s="66">
        <f>IF(H$2&lt;16/9,(18*H$3*E29+(16*H$4-9*H$3)*65535)/(32*65535),"")</f>
        <v>694.4684138246738</v>
      </c>
    </row>
    <row r="30" spans="1:9" ht="16">
      <c r="A30" s="107" t="s">
        <v>51</v>
      </c>
      <c r="B30" s="103" t="s">
        <v>67</v>
      </c>
      <c r="C30" s="42" t="s">
        <v>7</v>
      </c>
      <c r="D30" s="43">
        <f t="shared" si="0"/>
        <v>0.43199816891737242</v>
      </c>
      <c r="E30" s="44">
        <v>28311</v>
      </c>
      <c r="F30" s="60">
        <f>(H$3/2-H$4/9*(8-E30/65535*16))*65535/H$3</f>
        <v>27815.833333333332</v>
      </c>
      <c r="G30" s="64">
        <f>H$3/2-H$4/9*(8-E30/65535*16)</f>
        <v>713.06324864576186</v>
      </c>
      <c r="H30" s="59">
        <f>IF(H$2&lt;16/9,E30,"")</f>
        <v>28311</v>
      </c>
      <c r="I30" s="65">
        <f>IF(H$2&lt;16/9,D30*H$3,"")</f>
        <v>725.75692378118561</v>
      </c>
    </row>
    <row r="31" spans="1:9" ht="16">
      <c r="A31" s="107"/>
      <c r="B31" s="103"/>
      <c r="C31" s="47" t="s">
        <v>8</v>
      </c>
      <c r="D31" s="61">
        <f t="shared" si="0"/>
        <v>0.75532158388647286</v>
      </c>
      <c r="E31" s="49">
        <v>49500</v>
      </c>
      <c r="F31" s="63">
        <f>E31</f>
        <v>49500</v>
      </c>
      <c r="G31" s="62">
        <f>D31*$H$4</f>
        <v>793.08766308079646</v>
      </c>
      <c r="H31" s="62">
        <f>IF(H$2&lt;16/9,(18*H$3*E31+(16*H$4-9*H$3)*65535)/(32*H$4),"")</f>
        <v>47826.75</v>
      </c>
      <c r="I31" s="66">
        <f>IF(H$2&lt;16/9,(18*H$3*E31+(16*H$4-9*H$3)*65535)/(32*65535),"")</f>
        <v>766.27889677271685</v>
      </c>
    </row>
    <row r="32" spans="1:9" ht="16">
      <c r="A32" s="107" t="s">
        <v>42</v>
      </c>
      <c r="B32" s="103" t="s">
        <v>31</v>
      </c>
      <c r="C32" s="42" t="s">
        <v>7</v>
      </c>
      <c r="D32" s="43">
        <f t="shared" si="0"/>
        <v>0.38353551537346459</v>
      </c>
      <c r="E32" s="44">
        <v>25135</v>
      </c>
      <c r="F32" s="60">
        <f>(H$3/2-H$4/9*(8-E32/65535*16))*65535/H$3</f>
        <v>24286.944444444449</v>
      </c>
      <c r="G32" s="64">
        <f>H$3/2-H$4/9*(8-E32/65535*16)</f>
        <v>622.59962869713388</v>
      </c>
      <c r="H32" s="59">
        <f>IF(H$2&lt;16/9,E32,"")</f>
        <v>25135</v>
      </c>
      <c r="I32" s="65">
        <f>IF(H$2&lt;16/9,D32*H$3,"")</f>
        <v>644.3396658274205</v>
      </c>
    </row>
    <row r="33" spans="1:9" ht="16">
      <c r="A33" s="107"/>
      <c r="B33" s="103"/>
      <c r="C33" s="47" t="s">
        <v>8</v>
      </c>
      <c r="D33" s="61">
        <f t="shared" si="0"/>
        <v>0.57183184557869837</v>
      </c>
      <c r="E33" s="49">
        <v>37475</v>
      </c>
      <c r="F33" s="63">
        <f>E33</f>
        <v>37475</v>
      </c>
      <c r="G33" s="62">
        <f>D33*$H$4</f>
        <v>600.4234378576333</v>
      </c>
      <c r="H33" s="62">
        <f>IF(H$2&lt;16/9,(18*H$3*E33+(16*H$4-9*H$3)*65535)/(32*H$4),"")</f>
        <v>37004.25</v>
      </c>
      <c r="I33" s="66">
        <f>IF(H$2&lt;16/9,(18*H$3*E33+(16*H$4-9*H$3)*65535)/(32*65535),"")</f>
        <v>592.88109407186994</v>
      </c>
    </row>
    <row r="34" spans="1:9" ht="16">
      <c r="A34" s="107" t="s">
        <v>43</v>
      </c>
      <c r="B34" s="103" t="s">
        <v>32</v>
      </c>
      <c r="C34" s="42" t="s">
        <v>7</v>
      </c>
      <c r="D34" s="43">
        <f t="shared" si="0"/>
        <v>0.52944228274967575</v>
      </c>
      <c r="E34" s="44">
        <v>34697</v>
      </c>
      <c r="F34" s="60">
        <f>(H$3/2-H$4/9*(8-E34/65535*16))*65535/H$3</f>
        <v>34911.388888888883</v>
      </c>
      <c r="G34" s="64">
        <f>H$3/2-H$4/9*(8-E34/65535*16)</f>
        <v>894.9589277993947</v>
      </c>
      <c r="H34" s="59">
        <f>IF(H$2&lt;16/9,E34,"")</f>
        <v>34697</v>
      </c>
      <c r="I34" s="67">
        <f>IF(H$2&lt;16/9,D34*H$3,"")</f>
        <v>889.46303501945522</v>
      </c>
    </row>
    <row r="35" spans="1:9" ht="16">
      <c r="A35" s="107"/>
      <c r="B35" s="103"/>
      <c r="C35" s="47" t="s">
        <v>8</v>
      </c>
      <c r="D35" s="61">
        <f t="shared" si="0"/>
        <v>0.44763866636148625</v>
      </c>
      <c r="E35" s="49">
        <v>29336</v>
      </c>
      <c r="F35" s="63">
        <f>E35</f>
        <v>29336</v>
      </c>
      <c r="G35" s="62">
        <f>D35*$H$4</f>
        <v>470.02059967956058</v>
      </c>
      <c r="H35" s="62">
        <f>IF(H$2&lt;16/9,(18*H$3*E35+(16*H$4-9*H$3)*65535)/(32*H$4),"")</f>
        <v>29679.15</v>
      </c>
      <c r="I35" s="68">
        <f>IF(H$2&lt;16/9,(18*H$3*E35+(16*H$4-9*H$3)*65535)/(32*65535),"")</f>
        <v>475.51853971160449</v>
      </c>
    </row>
    <row r="36" spans="1:9" ht="16">
      <c r="A36" s="104" t="s">
        <v>44</v>
      </c>
      <c r="B36" s="105" t="s">
        <v>33</v>
      </c>
      <c r="C36" s="69" t="s">
        <v>7</v>
      </c>
      <c r="D36" s="70">
        <f t="shared" si="0"/>
        <v>0.56592660410467688</v>
      </c>
      <c r="E36" s="71">
        <v>37088</v>
      </c>
      <c r="F36" s="72">
        <f>(H$3/2-H$4/9*(8-E36/65535*16))*65535/H$3</f>
        <v>37568.055555555555</v>
      </c>
      <c r="G36" s="73">
        <f>H$3/2-H$4/9*(8-E36/65535*16)</f>
        <v>963.06299432873016</v>
      </c>
      <c r="H36" s="59">
        <f>IF(H$2&lt;16/9,E36,"")</f>
        <v>37088</v>
      </c>
      <c r="I36" s="67">
        <f>IF(H$2&lt;16/9,D36*H$3,"")</f>
        <v>950.75669489585721</v>
      </c>
    </row>
    <row r="37" spans="1:9" ht="16">
      <c r="A37" s="104"/>
      <c r="B37" s="105"/>
      <c r="C37" s="74" t="s">
        <v>8</v>
      </c>
      <c r="D37" s="75">
        <f t="shared" si="0"/>
        <v>0.48007934691386284</v>
      </c>
      <c r="E37" s="76">
        <v>31462</v>
      </c>
      <c r="F37" s="77">
        <f>E37</f>
        <v>31462</v>
      </c>
      <c r="G37" s="78">
        <f>D37*$H$4</f>
        <v>504.083314259556</v>
      </c>
      <c r="H37" s="62">
        <f>IF(H$2&lt;16/9,(18*H$3*E37+(16*H$4-9*H$3)*65535)/(32*H$4),"")</f>
        <v>31592.55</v>
      </c>
      <c r="I37" s="68">
        <f>IF(H$2&lt;16/9,(18*H$3*E37+(16*H$4-9*H$3)*65535)/(32*65535),"")</f>
        <v>506.17498283360038</v>
      </c>
    </row>
    <row r="38" spans="1:9" ht="16">
      <c r="A38" s="104" t="s">
        <v>45</v>
      </c>
      <c r="B38" s="105" t="s">
        <v>34</v>
      </c>
      <c r="C38" s="69" t="s">
        <v>7</v>
      </c>
      <c r="D38" s="70">
        <f t="shared" si="0"/>
        <v>0.53986419470511937</v>
      </c>
      <c r="E38" s="71">
        <v>35380</v>
      </c>
      <c r="F38" s="72">
        <f>(H$3/2-H$4/9*(8-E38/65535*16))*65535/H$3</f>
        <v>35670.277777777774</v>
      </c>
      <c r="G38" s="73">
        <f>H$3/2-H$4/9*(8-E38/65535*16)</f>
        <v>914.41316344955612</v>
      </c>
      <c r="H38" s="59">
        <f>IF(H$2&lt;16/9,E38,"")</f>
        <v>35380</v>
      </c>
      <c r="I38" s="67">
        <f>IF(H$2&lt;16/9,D38*H$3,"")</f>
        <v>906.97184710460056</v>
      </c>
    </row>
    <row r="39" spans="1:9" ht="16">
      <c r="A39" s="104"/>
      <c r="B39" s="105"/>
      <c r="C39" s="74" t="s">
        <v>8</v>
      </c>
      <c r="D39" s="75">
        <f t="shared" si="0"/>
        <v>0.72660410467689018</v>
      </c>
      <c r="E39" s="76">
        <v>47618</v>
      </c>
      <c r="F39" s="77">
        <f>E39</f>
        <v>47618</v>
      </c>
      <c r="G39" s="78">
        <f>D39*$H$4</f>
        <v>762.93430991073467</v>
      </c>
      <c r="H39" s="62">
        <f>IF(H$2&lt;16/9,(18*H$3*E39+(16*H$4-9*H$3)*65535)/(32*H$4),"")</f>
        <v>46132.95</v>
      </c>
      <c r="I39" s="68">
        <f>IF(H$2&lt;16/9,(18*H$3*E39+(16*H$4-9*H$3)*65535)/(32*65535),"")</f>
        <v>739.1408789196613</v>
      </c>
    </row>
    <row r="40" spans="1:9" ht="16">
      <c r="A40" s="104" t="s">
        <v>76</v>
      </c>
      <c r="B40" s="105" t="s">
        <v>77</v>
      </c>
      <c r="C40" s="69" t="s">
        <v>7</v>
      </c>
      <c r="D40" s="70">
        <f t="shared" si="0"/>
        <v>0.442572671091783</v>
      </c>
      <c r="E40" s="71">
        <v>29004</v>
      </c>
      <c r="F40" s="72">
        <f>(H$3/2-H$4/9*(8-E40/65535*16))*65535/H$3</f>
        <v>28585.833333333332</v>
      </c>
      <c r="G40" s="73">
        <f>H$3/2-H$4/9*(8-E40/65535*16)</f>
        <v>732.80231937132828</v>
      </c>
      <c r="H40" s="59">
        <f>IF(H$2&lt;16/9,E40,"")</f>
        <v>29004</v>
      </c>
      <c r="I40" s="67">
        <f>IF(H$2&lt;16/9,D40*H$3,"")</f>
        <v>743.52208743419544</v>
      </c>
    </row>
    <row r="41" spans="1:9" ht="16">
      <c r="A41" s="104"/>
      <c r="B41" s="105"/>
      <c r="C41" s="74" t="s">
        <v>8</v>
      </c>
      <c r="D41" s="75">
        <f t="shared" si="0"/>
        <v>0.60833142595559619</v>
      </c>
      <c r="E41" s="76">
        <v>39867</v>
      </c>
      <c r="F41" s="77">
        <f>E41</f>
        <v>39867</v>
      </c>
      <c r="G41" s="78">
        <f>D41*$H$4</f>
        <v>638.74799725337596</v>
      </c>
      <c r="H41" s="62">
        <f>IF(H$2&lt;16/9,(18*H$3*E41+(16*H$4-9*H$3)*65535)/(32*H$4),"")</f>
        <v>39157.050000000003</v>
      </c>
      <c r="I41" s="68">
        <f>IF(H$2&lt;16/9,(18*H$3*E41+(16*H$4-9*H$3)*65535)/(32*65535),"")</f>
        <v>627.37319752803842</v>
      </c>
    </row>
    <row r="42" spans="1:9" ht="16">
      <c r="A42" s="104" t="s">
        <v>75</v>
      </c>
      <c r="B42" s="105" t="s">
        <v>79</v>
      </c>
      <c r="C42" s="69" t="s">
        <v>7</v>
      </c>
      <c r="D42" s="70">
        <f>E42/65535</f>
        <v>0.5</v>
      </c>
      <c r="E42" s="71">
        <f>0.5*E7</f>
        <v>32767.5</v>
      </c>
      <c r="F42" s="72">
        <f>(H$3/2-H$4/9*(8-E42/65535*16))*65535/H$3</f>
        <v>32767.5</v>
      </c>
      <c r="G42" s="73">
        <f>H$3/2-H$4/9*(8-E42/65535*16)</f>
        <v>840</v>
      </c>
      <c r="H42" s="59">
        <f>IF(H$2&lt;16/9,E42,"")</f>
        <v>32767.5</v>
      </c>
      <c r="I42" s="67">
        <f>IF(H$2&lt;16/9,D42*H$3,"")</f>
        <v>840</v>
      </c>
    </row>
    <row r="43" spans="1:9" ht="16">
      <c r="A43" s="104"/>
      <c r="B43" s="105"/>
      <c r="C43" s="74" t="s">
        <v>8</v>
      </c>
      <c r="D43" s="75">
        <f>E43/65535</f>
        <v>0.46845197222858015</v>
      </c>
      <c r="E43" s="76">
        <v>30700</v>
      </c>
      <c r="F43" s="77">
        <f>E43</f>
        <v>30700</v>
      </c>
      <c r="G43" s="78">
        <f>D43*$H$4</f>
        <v>491.87457084000914</v>
      </c>
      <c r="H43" s="62">
        <f>IF(H$2&lt;16/9,(18*H$3*E43+(16*H$4-9*H$3)*65535)/(32*H$4),"")</f>
        <v>30906.75</v>
      </c>
      <c r="I43" s="68">
        <f>IF(H$2&lt;16/9,(18*H$3*E43+(16*H$4-9*H$3)*65535)/(32*65535),"")</f>
        <v>495.18711375600822</v>
      </c>
    </row>
    <row r="44" spans="1:9" ht="16">
      <c r="A44" s="55" t="s">
        <v>10</v>
      </c>
      <c r="B44" s="55"/>
      <c r="C44" s="79"/>
      <c r="D44" s="80"/>
      <c r="E44" s="55"/>
      <c r="F44" s="81"/>
      <c r="G44" s="55"/>
      <c r="H44" s="82"/>
      <c r="I44" s="83"/>
    </row>
    <row r="45" spans="1:9" ht="16">
      <c r="A45" s="104" t="s">
        <v>52</v>
      </c>
      <c r="B45" s="105" t="s">
        <v>23</v>
      </c>
      <c r="C45" s="69" t="s">
        <v>7</v>
      </c>
      <c r="D45" s="70">
        <f>E45/65535</f>
        <v>0.74383154039826049</v>
      </c>
      <c r="E45" s="71">
        <v>48747</v>
      </c>
      <c r="F45" s="72">
        <f>(H$3-H$4/9*(16-E45/65535*16))*65535/H$3</f>
        <v>46881.666666666657</v>
      </c>
      <c r="G45" s="73">
        <f>H$3-H$4/9*(16-E45/65535*16)</f>
        <v>1201.8188754100861</v>
      </c>
      <c r="H45" s="73">
        <f>IF(H$2&lt;16/9,E45,"")</f>
        <v>48747</v>
      </c>
      <c r="I45" s="67">
        <f>IF(H$2&lt;16/9,D45*H$3,"")</f>
        <v>1249.6369878690775</v>
      </c>
    </row>
    <row r="46" spans="1:9" ht="16">
      <c r="A46" s="104"/>
      <c r="B46" s="105"/>
      <c r="C46" s="74" t="s">
        <v>8</v>
      </c>
      <c r="D46" s="75">
        <f>E46/65535</f>
        <v>0.54123750667582204</v>
      </c>
      <c r="E46" s="76">
        <v>35470</v>
      </c>
      <c r="F46" s="77">
        <f>E46</f>
        <v>35470</v>
      </c>
      <c r="G46" s="78">
        <f>D46*$H$4</f>
        <v>568.29938200961317</v>
      </c>
      <c r="H46" s="78">
        <f>IF(H$2&lt;16/9,(18*H$3*E46+(16*H$4-9*H$3)*65535)/(32*H$4),"")</f>
        <v>35199.75</v>
      </c>
      <c r="I46" s="68">
        <f>IF(H$2&lt;16/9,(18*H$3*E46+(16*H$4-9*H$3)*65535)/(32*65535),"")</f>
        <v>563.96944380865182</v>
      </c>
    </row>
    <row r="47" spans="1:9" ht="16">
      <c r="A47" s="104" t="s">
        <v>53</v>
      </c>
      <c r="B47" s="105" t="s">
        <v>24</v>
      </c>
      <c r="C47" s="69" t="s">
        <v>1</v>
      </c>
      <c r="D47" s="70">
        <f>E47/65535</f>
        <v>0.98072785534447238</v>
      </c>
      <c r="E47" s="84">
        <v>64272</v>
      </c>
      <c r="F47" s="72">
        <f>(H$3-H$4/9*(16-E47/65535*16))*65535/H$3</f>
        <v>64131.666666666664</v>
      </c>
      <c r="G47" s="73">
        <f>H$3-H$4/9*(16-E47/65535*16)</f>
        <v>1644.0253299763485</v>
      </c>
      <c r="H47" s="73">
        <f>IF(H$2&lt;16/9,E47,"")</f>
        <v>64272</v>
      </c>
      <c r="I47" s="67">
        <f>IF(H$2&lt;16/9,D47*H$3,"")</f>
        <v>1647.6227969787135</v>
      </c>
    </row>
    <row r="48" spans="1:9" ht="16">
      <c r="A48" s="104"/>
      <c r="B48" s="105"/>
      <c r="C48" s="74" t="s">
        <v>2</v>
      </c>
      <c r="D48" s="75">
        <f>E48/65535</f>
        <v>0.77222858014801254</v>
      </c>
      <c r="E48" s="78">
        <v>50608</v>
      </c>
      <c r="F48" s="77">
        <f>E48</f>
        <v>50608</v>
      </c>
      <c r="G48" s="78">
        <f>D48*$H$4</f>
        <v>810.84000915541321</v>
      </c>
      <c r="H48" s="78">
        <f>IF(H$2&lt;16/9,(18*H$3*E48+(16*H$4-9*H$3)*65535)/(32*H$4),"")</f>
        <v>48823.95</v>
      </c>
      <c r="I48" s="68">
        <f>IF(H$2&lt;16/9,(18*H$3*E48+(16*H$4-9*H$3)*65535)/(32*65535),"")</f>
        <v>782.25600823987179</v>
      </c>
    </row>
    <row r="49" spans="1:11" ht="16">
      <c r="A49" s="104" t="s">
        <v>74</v>
      </c>
      <c r="B49" s="105" t="s">
        <v>78</v>
      </c>
      <c r="C49" s="69" t="s">
        <v>1</v>
      </c>
      <c r="D49" s="70"/>
      <c r="E49" s="84"/>
      <c r="F49" s="72"/>
      <c r="G49" s="84"/>
      <c r="H49" s="73"/>
      <c r="I49" s="101"/>
    </row>
    <row r="50" spans="1:11" ht="16">
      <c r="A50" s="104"/>
      <c r="B50" s="106"/>
      <c r="C50" s="74" t="s">
        <v>2</v>
      </c>
      <c r="D50" s="75"/>
      <c r="E50" s="78"/>
      <c r="F50" s="77"/>
      <c r="G50" s="78"/>
      <c r="H50" s="78"/>
      <c r="I50" s="68"/>
    </row>
    <row r="51" spans="1:11" ht="16">
      <c r="A51" s="85" t="s">
        <v>11</v>
      </c>
      <c r="B51" s="85"/>
      <c r="C51" s="79"/>
      <c r="D51" s="80"/>
      <c r="E51" s="55"/>
      <c r="F51" s="81"/>
      <c r="G51" s="55"/>
      <c r="H51" s="82"/>
      <c r="I51" s="86"/>
    </row>
    <row r="52" spans="1:11" ht="16">
      <c r="A52" s="109" t="s">
        <v>54</v>
      </c>
      <c r="B52" s="108" t="s">
        <v>25</v>
      </c>
      <c r="C52" s="87" t="s">
        <v>7</v>
      </c>
      <c r="D52" s="70">
        <f t="shared" ref="D52:D73" si="1">E52/65535</f>
        <v>0.12089723048752575</v>
      </c>
      <c r="E52" s="71">
        <v>7923</v>
      </c>
      <c r="F52" s="72">
        <f>H$4/9*16/H$3*E52</f>
        <v>8803.3333333333339</v>
      </c>
      <c r="G52" s="73">
        <f>H$4/9*E52/65535*16</f>
        <v>225.67483024338139</v>
      </c>
      <c r="H52" s="59">
        <f>IF(H$2&lt;16/9,E52,"")</f>
        <v>7923</v>
      </c>
      <c r="I52" s="67">
        <f>IF(H$2&lt;16/9,D52*H$3,"")</f>
        <v>203.10734721904325</v>
      </c>
      <c r="K52" s="102"/>
    </row>
    <row r="53" spans="1:11" ht="16">
      <c r="A53" s="109"/>
      <c r="B53" s="108"/>
      <c r="C53" s="88" t="s">
        <v>8</v>
      </c>
      <c r="D53" s="75">
        <f t="shared" si="1"/>
        <v>0.44670786602578777</v>
      </c>
      <c r="E53" s="76">
        <v>29275</v>
      </c>
      <c r="F53" s="77">
        <f>E53</f>
        <v>29275</v>
      </c>
      <c r="G53" s="78">
        <f>D53*$H$4</f>
        <v>469.04325932707718</v>
      </c>
      <c r="H53" s="62">
        <f>IF(H$2&lt;16/9,(18*H$3*E53+(16*H$4-9*H$3)*65535)/(32*H$4),"")</f>
        <v>29624.25</v>
      </c>
      <c r="I53" s="68">
        <f>IF(H$2&lt;16/9,(18*H$3*E53+(16*H$4-9*H$3)*65535)/(32*65535),"")</f>
        <v>474.63893339436942</v>
      </c>
      <c r="K53" s="102"/>
    </row>
    <row r="54" spans="1:11" ht="16">
      <c r="A54" s="109" t="s">
        <v>14</v>
      </c>
      <c r="B54" s="108" t="s">
        <v>26</v>
      </c>
      <c r="C54" s="87" t="s">
        <v>7</v>
      </c>
      <c r="D54" s="70">
        <f t="shared" si="1"/>
        <v>0.12500190737773709</v>
      </c>
      <c r="E54" s="71">
        <v>8192</v>
      </c>
      <c r="F54" s="72">
        <f>H$4/9*16/H$3*E54</f>
        <v>9102.2222222222226</v>
      </c>
      <c r="G54" s="73">
        <f>H$4/9*E54/65535*16</f>
        <v>233.33689377177592</v>
      </c>
      <c r="H54" s="59">
        <f>IF(H$2&lt;16/9,E54,"")</f>
        <v>8192</v>
      </c>
      <c r="I54" s="67">
        <f>IF(H$2&lt;16/9,D54*H$3,"")</f>
        <v>210.0032043945983</v>
      </c>
    </row>
    <row r="55" spans="1:11" ht="16">
      <c r="A55" s="109"/>
      <c r="B55" s="108"/>
      <c r="C55" s="88" t="s">
        <v>8</v>
      </c>
      <c r="D55" s="75">
        <f t="shared" si="1"/>
        <v>0.48000305180437935</v>
      </c>
      <c r="E55" s="76">
        <v>31457</v>
      </c>
      <c r="F55" s="77">
        <f>E55</f>
        <v>31457</v>
      </c>
      <c r="G55" s="78">
        <f>D55*$H$4</f>
        <v>504.0032043945983</v>
      </c>
      <c r="H55" s="62">
        <f>IF(H$2&lt;16/9,(18*H$3*E55+(16*H$4-9*H$3)*65535)/(32*H$4),"")</f>
        <v>31588.05</v>
      </c>
      <c r="I55" s="68">
        <f>IF(H$2&lt;16/9,(18*H$3*E55+(16*H$4-9*H$3)*65535)/(32*65535),"")</f>
        <v>506.10288395513845</v>
      </c>
    </row>
    <row r="56" spans="1:11" ht="16">
      <c r="A56" s="109" t="s">
        <v>15</v>
      </c>
      <c r="B56" s="108" t="s">
        <v>27</v>
      </c>
      <c r="C56" s="87" t="s">
        <v>7</v>
      </c>
      <c r="D56" s="70">
        <f t="shared" si="1"/>
        <v>0.37500572213321126</v>
      </c>
      <c r="E56" s="71">
        <v>24576</v>
      </c>
      <c r="F56" s="72">
        <f>H$4/9*16/H$3*E56</f>
        <v>27306.666666666668</v>
      </c>
      <c r="G56" s="73">
        <f>H$4/9*E56/65535*16</f>
        <v>700.0106813153277</v>
      </c>
      <c r="H56" s="59">
        <f>IF(H$2&lt;16/9,E56,"")</f>
        <v>24576</v>
      </c>
      <c r="I56" s="67">
        <f>IF(H$2&lt;16/9,D56*H$3,"")</f>
        <v>630.00961318379495</v>
      </c>
    </row>
    <row r="57" spans="1:11" s="89" customFormat="1" ht="16">
      <c r="A57" s="109"/>
      <c r="B57" s="108"/>
      <c r="C57" s="88" t="s">
        <v>8</v>
      </c>
      <c r="D57" s="75">
        <f t="shared" si="1"/>
        <v>0.79166857404440372</v>
      </c>
      <c r="E57" s="76">
        <v>51882</v>
      </c>
      <c r="F57" s="77">
        <f>E57</f>
        <v>51882</v>
      </c>
      <c r="G57" s="78">
        <f>D57*$H$4</f>
        <v>831.25200274662393</v>
      </c>
      <c r="H57" s="62">
        <f>IF(H$2&lt;16/9,(18*H$3*E57+(16*H$4-9*H$3)*65535)/(32*H$4),"")</f>
        <v>49970.55</v>
      </c>
      <c r="I57" s="68">
        <f>IF(H$2&lt;16/9,(18*H$3*E57+(16*H$4-9*H$3)*65535)/(32*65535),"")</f>
        <v>800.62680247196158</v>
      </c>
    </row>
    <row r="58" spans="1:11" s="89" customFormat="1" ht="16">
      <c r="A58" s="109" t="s">
        <v>16</v>
      </c>
      <c r="B58" s="108" t="s">
        <v>35</v>
      </c>
      <c r="C58" s="87" t="s">
        <v>7</v>
      </c>
      <c r="D58" s="70">
        <f t="shared" si="1"/>
        <v>0.12497138933394369</v>
      </c>
      <c r="E58" s="71">
        <v>8190</v>
      </c>
      <c r="F58" s="72">
        <f>H$4/9*16/H$3*E58</f>
        <v>9100</v>
      </c>
      <c r="G58" s="73">
        <f>H$4/9*E58/65535*16</f>
        <v>233.27992675669489</v>
      </c>
      <c r="H58" s="59">
        <f>IF(H$2&lt;16/9,E58,"")</f>
        <v>8190</v>
      </c>
      <c r="I58" s="67">
        <f>IF(H$2&lt;16/9,D58*H$3,"")</f>
        <v>209.9519340810254</v>
      </c>
    </row>
    <row r="59" spans="1:11" ht="16">
      <c r="A59" s="109"/>
      <c r="B59" s="108"/>
      <c r="C59" s="88" t="s">
        <v>8</v>
      </c>
      <c r="D59" s="75">
        <f t="shared" si="1"/>
        <v>0.76386663614862282</v>
      </c>
      <c r="E59" s="76">
        <v>50060</v>
      </c>
      <c r="F59" s="77">
        <f>E59</f>
        <v>50060</v>
      </c>
      <c r="G59" s="78">
        <f>D59*$H$4</f>
        <v>802.05996795605392</v>
      </c>
      <c r="H59" s="62">
        <f>IF(H$2&lt;16/9,(18*H$3*E59+(16*H$4-9*H$3)*65535)/(32*H$4),"")</f>
        <v>48330.75</v>
      </c>
      <c r="I59" s="68">
        <f>IF(H$2&lt;16/9,(18*H$3*E59+(16*H$4-9*H$3)*65535)/(32*65535),"")</f>
        <v>774.35397116044862</v>
      </c>
    </row>
    <row r="60" spans="1:11" ht="16">
      <c r="A60" s="109" t="s">
        <v>82</v>
      </c>
      <c r="B60" s="108" t="s">
        <v>84</v>
      </c>
      <c r="C60" s="87" t="s">
        <v>7</v>
      </c>
      <c r="D60" s="70">
        <f t="shared" si="1"/>
        <v>3.0518043793392843E-2</v>
      </c>
      <c r="E60" s="71">
        <v>2000</v>
      </c>
      <c r="F60" s="72">
        <f t="shared" ref="F60" si="2">H$4/9*16/H$3*E60</f>
        <v>2222.2222222222222</v>
      </c>
      <c r="G60" s="73">
        <f t="shared" ref="G60" si="3">H$4/9*E60/65535*16</f>
        <v>56.967015080999978</v>
      </c>
      <c r="H60" s="59">
        <f t="shared" ref="H60:H63" si="4">IF(H$2&lt;16/9,E60,"")</f>
        <v>2000</v>
      </c>
      <c r="I60" s="67">
        <f t="shared" ref="I60" si="5">IF(H$2&lt;16/9,D60*H$3,"")</f>
        <v>51.270313572899973</v>
      </c>
    </row>
    <row r="61" spans="1:11" ht="16">
      <c r="A61" s="109"/>
      <c r="B61" s="108"/>
      <c r="C61" s="88" t="s">
        <v>8</v>
      </c>
      <c r="D61" s="75">
        <f t="shared" si="1"/>
        <v>0.77058060578316934</v>
      </c>
      <c r="E61" s="76">
        <v>50500</v>
      </c>
      <c r="F61" s="77">
        <f t="shared" ref="F61" si="6">E61</f>
        <v>50500</v>
      </c>
      <c r="G61" s="78">
        <f t="shared" ref="G61:G63" si="7">D61*$H$4</f>
        <v>809.10963607232782</v>
      </c>
      <c r="H61" s="62">
        <f t="shared" ref="H61:H63" si="8">IF(H$2&lt;16/9,(18*H$3*E61+(16*H$4-9*H$3)*65535)/(32*H$4),"")</f>
        <v>48726.75</v>
      </c>
      <c r="I61" s="68">
        <f t="shared" ref="I61" si="9">IF(H$2&lt;16/9,(18*H$3*E61+(16*H$4-9*H$3)*65535)/(32*65535),"")</f>
        <v>780.698672465095</v>
      </c>
    </row>
    <row r="62" spans="1:11" ht="16">
      <c r="A62" s="109" t="s">
        <v>83</v>
      </c>
      <c r="B62" s="108" t="s">
        <v>85</v>
      </c>
      <c r="C62" s="87" t="s">
        <v>7</v>
      </c>
      <c r="D62" s="70">
        <f t="shared" si="1"/>
        <v>4.4251163500419625E-2</v>
      </c>
      <c r="E62" s="71">
        <v>2900</v>
      </c>
      <c r="F62" s="72">
        <f t="shared" ref="F62" si="10">H$4/9*16/H$3*E62</f>
        <v>3222.2222222222222</v>
      </c>
      <c r="G62" s="73">
        <f t="shared" ref="G62" si="11">H$4/9*E62/65535*16</f>
        <v>82.602171867449968</v>
      </c>
      <c r="H62" s="59">
        <f t="shared" ref="H62:H63" si="12">IF(H$2&lt;16/9,E62,"")</f>
        <v>2900</v>
      </c>
      <c r="I62" s="67">
        <f t="shared" ref="I62" si="13">IF(H$2&lt;16/9,D62*H$3,"")</f>
        <v>74.341954680704973</v>
      </c>
    </row>
    <row r="63" spans="1:11" ht="16">
      <c r="A63" s="109"/>
      <c r="B63" s="108"/>
      <c r="C63" s="88" t="s">
        <v>8</v>
      </c>
      <c r="D63" s="75">
        <f t="shared" si="1"/>
        <v>0.77058060578316934</v>
      </c>
      <c r="E63" s="76">
        <v>50500</v>
      </c>
      <c r="F63" s="77">
        <f t="shared" ref="F63" si="14">E63</f>
        <v>50500</v>
      </c>
      <c r="G63" s="78">
        <f t="shared" ref="G63" si="15">D63*$H$4</f>
        <v>809.10963607232782</v>
      </c>
      <c r="H63" s="62">
        <f t="shared" ref="H63" si="16">IF(H$2&lt;16/9,(18*H$3*E63+(16*H$4-9*H$3)*65535)/(32*H$4),"")</f>
        <v>48726.75</v>
      </c>
      <c r="I63" s="68">
        <f t="shared" ref="I63" si="17">IF(H$2&lt;16/9,(18*H$3*E63+(16*H$4-9*H$3)*65535)/(32*65535),"")</f>
        <v>780.698672465095</v>
      </c>
    </row>
    <row r="64" spans="1:11" ht="16">
      <c r="A64" s="109" t="s">
        <v>17</v>
      </c>
      <c r="B64" s="108" t="s">
        <v>28</v>
      </c>
      <c r="C64" s="87" t="s">
        <v>7</v>
      </c>
      <c r="D64" s="70">
        <f t="shared" si="1"/>
        <v>0.10800335698481728</v>
      </c>
      <c r="E64" s="71">
        <v>7078</v>
      </c>
      <c r="F64" s="72">
        <f>H$4/9*16/H$3*E64</f>
        <v>7864.4444444444443</v>
      </c>
      <c r="G64" s="73">
        <f>H$4/9*E64/65535*16</f>
        <v>201.60626637165893</v>
      </c>
      <c r="H64" s="59">
        <f>IF(H$2&lt;16/9,E64,"")</f>
        <v>7078</v>
      </c>
      <c r="I64" s="67">
        <f>IF(H$2&lt;16/9,D64*H$3,"")</f>
        <v>181.44563973449303</v>
      </c>
    </row>
    <row r="65" spans="1:9" ht="16">
      <c r="A65" s="109"/>
      <c r="B65" s="108"/>
      <c r="C65" s="88" t="s">
        <v>8</v>
      </c>
      <c r="D65" s="75">
        <f t="shared" si="1"/>
        <v>0.37500572213321126</v>
      </c>
      <c r="E65" s="76">
        <v>24576</v>
      </c>
      <c r="F65" s="77">
        <f>E65</f>
        <v>24576</v>
      </c>
      <c r="G65" s="78">
        <f>D65*$H$4</f>
        <v>393.75600823987185</v>
      </c>
      <c r="H65" s="62">
        <f>IF(H$2&lt;16/9,(18*H$3*E65+(16*H$4-9*H$3)*65535)/(32*H$4),"")</f>
        <v>25395.15</v>
      </c>
      <c r="I65" s="68">
        <f>IF(H$2&lt;16/9,(18*H$3*E65+(16*H$4-9*H$3)*65535)/(32*65535),"")</f>
        <v>406.88040741588463</v>
      </c>
    </row>
    <row r="66" spans="1:9" ht="16">
      <c r="A66" s="109" t="s">
        <v>55</v>
      </c>
      <c r="B66" s="108" t="s">
        <v>29</v>
      </c>
      <c r="C66" s="87" t="s">
        <v>7</v>
      </c>
      <c r="D66" s="70">
        <f t="shared" si="1"/>
        <v>3.2822156099794005E-2</v>
      </c>
      <c r="E66" s="71">
        <v>2151</v>
      </c>
      <c r="F66" s="72">
        <f>H$4/9*16/H$3*E66</f>
        <v>2390</v>
      </c>
      <c r="G66" s="73">
        <f>H$4/9*E66/65535*16</f>
        <v>61.268024719615475</v>
      </c>
      <c r="H66" s="59">
        <f>IF(H$2&lt;16/9,E66,"")</f>
        <v>2151</v>
      </c>
      <c r="I66" s="67">
        <f>IF(H$2&lt;16/9,D66*H$3,"")</f>
        <v>55.141222247653928</v>
      </c>
    </row>
    <row r="67" spans="1:9" ht="16">
      <c r="A67" s="109"/>
      <c r="B67" s="108"/>
      <c r="C67" s="88" t="s">
        <v>8</v>
      </c>
      <c r="D67" s="75">
        <f t="shared" si="1"/>
        <v>0.22984664682993819</v>
      </c>
      <c r="E67" s="76">
        <v>15063</v>
      </c>
      <c r="F67" s="77">
        <f>E67</f>
        <v>15063</v>
      </c>
      <c r="G67" s="78">
        <f>D67*$H$4</f>
        <v>241.33897917143508</v>
      </c>
      <c r="H67" s="62">
        <f>IF(H$2&lt;16/9,(18*H$3*E67+(16*H$4-9*H$3)*65535)/(32*H$4),"")</f>
        <v>16833.45</v>
      </c>
      <c r="I67" s="68">
        <f>IF(H$2&lt;16/9,(18*H$3*E67+(16*H$4-9*H$3)*65535)/(32*65535),"")</f>
        <v>269.7050812542916</v>
      </c>
    </row>
    <row r="68" spans="1:9" ht="16">
      <c r="A68" s="109" t="s">
        <v>56</v>
      </c>
      <c r="B68" s="108" t="s">
        <v>30</v>
      </c>
      <c r="C68" s="87" t="s">
        <v>7</v>
      </c>
      <c r="D68" s="70">
        <f t="shared" si="1"/>
        <v>7.2953383688105597E-2</v>
      </c>
      <c r="E68" s="90">
        <v>4781</v>
      </c>
      <c r="F68" s="84">
        <f>H$4/9*16/H$3*E68</f>
        <v>5312.2222222222226</v>
      </c>
      <c r="G68" s="73">
        <f>H$4/9*E68/65535*16</f>
        <v>136.17964955113044</v>
      </c>
      <c r="H68" s="59">
        <f>IF(H$2&lt;16/9,E68,"")</f>
        <v>4781</v>
      </c>
      <c r="I68" s="67">
        <f>IF(H$2&lt;16/9,D68*H$3,"")</f>
        <v>122.5616845960174</v>
      </c>
    </row>
    <row r="69" spans="1:9" ht="16">
      <c r="A69" s="109"/>
      <c r="B69" s="108"/>
      <c r="C69" s="88" t="s">
        <v>8</v>
      </c>
      <c r="D69" s="75">
        <f t="shared" si="1"/>
        <v>0.35959411001754787</v>
      </c>
      <c r="E69" s="91">
        <v>23566</v>
      </c>
      <c r="F69" s="78">
        <f>E69</f>
        <v>23566</v>
      </c>
      <c r="G69" s="78">
        <f>D69*$H$4</f>
        <v>377.57381551842525</v>
      </c>
      <c r="H69" s="62">
        <f>IF(H$2&lt;16/9,(18*H$3*E69+(16*H$4-9*H$3)*65535)/(32*H$4),"")</f>
        <v>24486.15</v>
      </c>
      <c r="I69" s="68">
        <f>IF(H$2&lt;16/9,(18*H$3*E69+(16*H$4-9*H$3)*65535)/(32*65535),"")</f>
        <v>392.31643396658274</v>
      </c>
    </row>
    <row r="70" spans="1:9" ht="16">
      <c r="A70" s="109" t="s">
        <v>18</v>
      </c>
      <c r="B70" s="108" t="s">
        <v>20</v>
      </c>
      <c r="C70" s="87" t="s">
        <v>7</v>
      </c>
      <c r="D70" s="70">
        <f t="shared" si="1"/>
        <v>8.0003051804379333E-2</v>
      </c>
      <c r="E70" s="71">
        <v>5243</v>
      </c>
      <c r="F70" s="72">
        <f>H$4/9*16/H$3*E70</f>
        <v>5825.5555555555557</v>
      </c>
      <c r="G70" s="73">
        <f>H$4/9*E70/65535*16</f>
        <v>149.33903003484144</v>
      </c>
      <c r="H70" s="59">
        <f>IF(H$2&lt;16/9,E70,"")</f>
        <v>5243</v>
      </c>
      <c r="I70" s="67">
        <f>IF(H$2&lt;16/9,D70*H$3,"")</f>
        <v>134.40512703135727</v>
      </c>
    </row>
    <row r="71" spans="1:9" ht="16">
      <c r="A71" s="109"/>
      <c r="B71" s="108"/>
      <c r="C71" s="88" t="s">
        <v>8</v>
      </c>
      <c r="D71" s="75">
        <f t="shared" si="1"/>
        <v>4.1992828259708556E-2</v>
      </c>
      <c r="E71" s="76">
        <v>2752</v>
      </c>
      <c r="F71" s="77">
        <f>E71</f>
        <v>2752</v>
      </c>
      <c r="G71" s="78">
        <f>D71*$H$4</f>
        <v>44.092469672693987</v>
      </c>
      <c r="H71" s="62">
        <f>IF(H$2&lt;16/9,(18*H$3*E71+(16*H$4-9*H$3)*65535)/(32*H$4),"")</f>
        <v>5753.55</v>
      </c>
      <c r="I71" s="68">
        <f>IF(H$2&lt;16/9,(18*H$3*E71+(16*H$4-9*H$3)*65535)/(32*65535),"")</f>
        <v>92.183222705424583</v>
      </c>
    </row>
    <row r="72" spans="1:9" ht="16">
      <c r="A72" s="109" t="s">
        <v>19</v>
      </c>
      <c r="B72" s="108" t="s">
        <v>21</v>
      </c>
      <c r="C72" s="87" t="s">
        <v>7</v>
      </c>
      <c r="D72" s="70">
        <f t="shared" si="1"/>
        <v>0.14500648508430611</v>
      </c>
      <c r="E72" s="71">
        <v>9503</v>
      </c>
      <c r="F72" s="72">
        <f>H$4/9*16/H$3*E72</f>
        <v>10558.888888888889</v>
      </c>
      <c r="G72" s="73">
        <f>H$4/9*E72/65535*16</f>
        <v>270.67877215737144</v>
      </c>
      <c r="H72" s="59">
        <f>IF(H$2&lt;16/9,E72,"")</f>
        <v>9503</v>
      </c>
      <c r="I72" s="67">
        <f>IF(H$2&lt;16/9,D72*H$3,"")</f>
        <v>243.61089494163426</v>
      </c>
    </row>
    <row r="73" spans="1:9" ht="16">
      <c r="A73" s="116"/>
      <c r="B73" s="106"/>
      <c r="C73" s="92" t="s">
        <v>8</v>
      </c>
      <c r="D73" s="93">
        <f t="shared" si="1"/>
        <v>0.1479972533760586</v>
      </c>
      <c r="E73" s="94">
        <v>9699</v>
      </c>
      <c r="F73" s="95">
        <f>E73</f>
        <v>9699</v>
      </c>
      <c r="G73" s="96">
        <f>D73*$H$4</f>
        <v>155.39711604486152</v>
      </c>
      <c r="H73" s="97">
        <f>IF(H$2&lt;16/9,(18*H$3*E73+(16*H$4-9*H$3)*65535)/(32*H$4),"")</f>
        <v>12005.85</v>
      </c>
      <c r="I73" s="98">
        <f>IF(H$2&lt;16/9,(18*H$3*E73+(16*H$4-9*H$3)*65535)/(32*65535),"")</f>
        <v>192.35740444037538</v>
      </c>
    </row>
  </sheetData>
  <sheetProtection selectLockedCells="1"/>
  <mergeCells count="66">
    <mergeCell ref="A60:A61"/>
    <mergeCell ref="A62:A63"/>
    <mergeCell ref="B60:B61"/>
    <mergeCell ref="B62:B63"/>
    <mergeCell ref="B70:B71"/>
    <mergeCell ref="A70:A71"/>
    <mergeCell ref="B72:B73"/>
    <mergeCell ref="A72:A73"/>
    <mergeCell ref="B64:B65"/>
    <mergeCell ref="A64:A65"/>
    <mergeCell ref="B66:B67"/>
    <mergeCell ref="A66:A67"/>
    <mergeCell ref="B68:B69"/>
    <mergeCell ref="A68:A69"/>
    <mergeCell ref="B54:B55"/>
    <mergeCell ref="A54:A55"/>
    <mergeCell ref="B56:B57"/>
    <mergeCell ref="A56:A57"/>
    <mergeCell ref="B58:B59"/>
    <mergeCell ref="A58:A59"/>
    <mergeCell ref="A10:A11"/>
    <mergeCell ref="A20:A21"/>
    <mergeCell ref="A22:A23"/>
    <mergeCell ref="A24:A25"/>
    <mergeCell ref="A26:A27"/>
    <mergeCell ref="A12:A13"/>
    <mergeCell ref="A14:A15"/>
    <mergeCell ref="A16:A17"/>
    <mergeCell ref="A18:A19"/>
    <mergeCell ref="F1:I1"/>
    <mergeCell ref="B12:B13"/>
    <mergeCell ref="D5:E5"/>
    <mergeCell ref="B7:B8"/>
    <mergeCell ref="B10:B11"/>
    <mergeCell ref="F3:F4"/>
    <mergeCell ref="B52:B53"/>
    <mergeCell ref="A45:A46"/>
    <mergeCell ref="A47:A48"/>
    <mergeCell ref="A52:A53"/>
    <mergeCell ref="A28:A29"/>
    <mergeCell ref="A30:A31"/>
    <mergeCell ref="A32:A33"/>
    <mergeCell ref="B28:B29"/>
    <mergeCell ref="B30:B31"/>
    <mergeCell ref="B32:B33"/>
    <mergeCell ref="B34:B35"/>
    <mergeCell ref="B36:B37"/>
    <mergeCell ref="A36:A37"/>
    <mergeCell ref="B42:B43"/>
    <mergeCell ref="B45:B46"/>
    <mergeCell ref="B47:B48"/>
    <mergeCell ref="B14:B15"/>
    <mergeCell ref="B16:B17"/>
    <mergeCell ref="B18:B19"/>
    <mergeCell ref="B20:B21"/>
    <mergeCell ref="B22:B23"/>
    <mergeCell ref="B24:B25"/>
    <mergeCell ref="A49:A50"/>
    <mergeCell ref="B49:B50"/>
    <mergeCell ref="A42:A43"/>
    <mergeCell ref="A34:A35"/>
    <mergeCell ref="B26:B27"/>
    <mergeCell ref="A38:A39"/>
    <mergeCell ref="B38:B39"/>
    <mergeCell ref="A40:A41"/>
    <mergeCell ref="B40:B41"/>
  </mergeCells>
  <phoneticPr fontId="3" type="noConversion"/>
  <pageMargins left="0.7" right="0.7" top="0.75" bottom="0.75" header="0.3" footer="0.3"/>
  <pageSetup paperSize="8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6B0B-9094-48FB-93C0-082FAAE5E97D}">
  <dimension ref="A1:E55"/>
  <sheetViews>
    <sheetView workbookViewId="0">
      <pane ySplit="2" topLeftCell="A3" activePane="bottomLeft" state="frozen"/>
      <selection pane="bottomLeft" activeCell="C47" sqref="C47"/>
    </sheetView>
  </sheetViews>
  <sheetFormatPr baseColWidth="10" defaultColWidth="8.83203125" defaultRowHeight="15"/>
  <cols>
    <col min="1" max="2" width="38.83203125" bestFit="1" customWidth="1"/>
    <col min="3" max="3" width="30.5" bestFit="1" customWidth="1"/>
    <col min="4" max="4" width="38.83203125" bestFit="1" customWidth="1"/>
    <col min="5" max="5" width="30.5" bestFit="1" customWidth="1"/>
  </cols>
  <sheetData>
    <row r="1" spans="1:5" ht="45.75" customHeight="1">
      <c r="A1" s="117" t="str">
        <f>screen!F1</f>
        <v>1680/1050</v>
      </c>
      <c r="B1" s="117"/>
      <c r="C1" s="117"/>
      <c r="D1" s="117"/>
      <c r="E1" s="117"/>
    </row>
    <row r="2" spans="1:5" s="4" customFormat="1" ht="36.75" customHeight="1">
      <c r="A2" s="2" t="s">
        <v>12</v>
      </c>
      <c r="B2" s="5" t="s">
        <v>3</v>
      </c>
      <c r="C2" s="2" t="s">
        <v>4</v>
      </c>
      <c r="D2" s="5" t="s">
        <v>40</v>
      </c>
      <c r="E2" s="3" t="s">
        <v>41</v>
      </c>
    </row>
    <row r="3" spans="1:5">
      <c r="A3" s="8" t="s">
        <v>71</v>
      </c>
      <c r="B3" s="8" t="str">
        <f>"[0] = { -- "&amp;$A$1</f>
        <v>[0] = { -- 1680/1050</v>
      </c>
      <c r="C3" s="8" t="str">
        <f>"["&amp;screen!$H$4&amp;"] = { "</f>
        <v xml:space="preserve">[1050] = { </v>
      </c>
      <c r="D3" s="8" t="str">
        <f>IF(screen!$H$2&lt;16/9,"[0] = { -- "&amp;$A$1&amp;" 黑邊","")</f>
        <v>[0] = { -- 1680/1050 黑邊</v>
      </c>
      <c r="E3" s="8" t="str">
        <f>IF(screen!$H$2&lt;16/9,"["&amp;screen!$H$4&amp;"] = { -- 黑邊","")</f>
        <v>[1050] = { -- 黑邊</v>
      </c>
    </row>
    <row r="4" spans="1:5">
      <c r="A4" s="9" t="s">
        <v>70</v>
      </c>
      <c r="B4" s="9" t="s">
        <v>70</v>
      </c>
      <c r="C4" s="9" t="s">
        <v>70</v>
      </c>
      <c r="D4" s="9" t="str">
        <f>IF(screen!$H$2&lt;16/9,"-- center","")</f>
        <v>-- center</v>
      </c>
      <c r="E4" s="9" t="str">
        <f>IF(screen!$H$2&lt;16/9,"-- center","")</f>
        <v>-- center</v>
      </c>
    </row>
    <row r="5" spans="1:5">
      <c r="A5" s="7" t="str">
        <f>screen!$B10&amp;"_"&amp;screen!$C10&amp;" = "&amp;ROUND(screen!E10,0)&amp;","</f>
        <v>mid_x = 32768,</v>
      </c>
      <c r="B5" s="7" t="str">
        <f>screen!$B10&amp;"_"&amp;screen!$C10&amp;" = "&amp;ROUND(screen!F10,0)&amp;","</f>
        <v>mid_x = 32768,</v>
      </c>
      <c r="C5" s="7" t="str">
        <f>screen!$B10&amp;"_"&amp;screen!$C10&amp;" = "&amp;ROUND(screen!G10,0)&amp;","</f>
        <v>mid_x = 840,</v>
      </c>
      <c r="D5" s="7" t="str">
        <f>IF(screen!$H$2&lt;16/9,screen!$B10&amp;"_"&amp;screen!$C10&amp;" = "&amp;ROUND(screen!H10,0)&amp;",","")</f>
        <v>mid_x = 32768,</v>
      </c>
      <c r="E5" s="7" t="str">
        <f>IF(screen!$H$2&lt;16/9,screen!$B10&amp;"_"&amp;screen!$C10&amp;" = "&amp;ROUND(screen!I10,0)&amp;",","")</f>
        <v>mid_x = 840,</v>
      </c>
    </row>
    <row r="6" spans="1:5">
      <c r="A6" s="6" t="str">
        <f>screen!$B10&amp;"_"&amp;screen!$C11&amp;" = "&amp;ROUND(screen!E11,0)&amp;","</f>
        <v>mid_y = 32768,</v>
      </c>
      <c r="B6" s="6" t="str">
        <f>screen!$B10&amp;"_"&amp;screen!$C11&amp;" = "&amp;ROUND(screen!F11,0)&amp;","</f>
        <v>mid_y = 32768,</v>
      </c>
      <c r="C6" s="6" t="str">
        <f>screen!$B10&amp;"_"&amp;screen!$C11&amp;" = "&amp;ROUND(screen!G11,0)&amp;","</f>
        <v>mid_y = 525,</v>
      </c>
      <c r="D6" s="6" t="str">
        <f>IF(screen!$H$2&lt;16/9,screen!$B10&amp;"_"&amp;screen!$C11&amp;" = "&amp;ROUND(screen!H11,0)&amp;",","")</f>
        <v>mid_y = 32768,</v>
      </c>
      <c r="E6" s="6" t="str">
        <f>IF(screen!$H$2&lt;16/9,screen!$B10&amp;"_"&amp;screen!$C11&amp;" = "&amp;ROUND(screen!I11,0)&amp;",","")</f>
        <v>mid_y = 525,</v>
      </c>
    </row>
    <row r="7" spans="1:5">
      <c r="A7" s="7" t="str">
        <f>screen!$B12&amp;"_"&amp;screen!$C12&amp;" = {"&amp;ROUND(screen!E12,0)&amp;", "&amp;ROUND(screen!E14,0)&amp;", "&amp;ROUND(screen!E16,0)&amp;", "&amp;ROUND(screen!E18,0)&amp;"},"</f>
        <v>p_tab_x = {20832, 28618, 36575, 44601},</v>
      </c>
      <c r="B7" s="7" t="str">
        <f>screen!$B12&amp;"_"&amp;screen!$C12&amp;" = {"&amp;ROUND(screen!F12,0)&amp;", "&amp;ROUND(screen!F14,0)&amp;", "&amp;ROUND(screen!F16,0)&amp;", "&amp;ROUND(screen!F18,0)&amp;"},"</f>
        <v>p_tab_x = {19506, 28157, 36998, 45916},</v>
      </c>
      <c r="C7" s="7" t="str">
        <f>screen!$B12&amp;"_"&amp;screen!$C12&amp;" = {"&amp;ROUND(screen!G12,0)&amp;", "&amp;ROUND(screen!G14,0)&amp;", "&amp;ROUND(screen!G16,0)&amp;", "&amp;ROUND(screen!G18,0)&amp;"},"</f>
        <v>p_tab_x = {500, 722, 948, 1177},</v>
      </c>
      <c r="D7" s="7" t="str">
        <f>IF(screen!$H$2&lt;16/9,screen!$B12&amp;"_"&amp;screen!$C12&amp;" = {"&amp;ROUND(screen!H12,0)&amp;", "&amp;ROUND(screen!H14,0)&amp;", "&amp;ROUND(screen!H16,0)&amp;", "&amp;ROUND(screen!H18,0)&amp;"},","")</f>
        <v>p_tab_x = {20832, 28618, 36575, 44601},</v>
      </c>
      <c r="E7" s="7" t="str">
        <f>IF(screen!$H$2&lt;16/9,screen!$B12&amp;"_"&amp;screen!$C12&amp;" = {"&amp;ROUND(screen!I12,0)&amp;", "&amp;ROUND(screen!I14,0)&amp;", "&amp;ROUND(screen!I16,0)&amp;", "&amp;ROUND(screen!I18,0)&amp;"},","")</f>
        <v>p_tab_x = {534, 734, 938, 1143},</v>
      </c>
    </row>
    <row r="8" spans="1:5">
      <c r="A8" s="6" t="str">
        <f>screen!$B12&amp;"_"&amp;screen!$C13&amp;" = "&amp;ROUND(screen!E13,0)&amp;","</f>
        <v>p_tab_y = 6800,</v>
      </c>
      <c r="B8" s="6" t="str">
        <f>screen!$B12&amp;"_"&amp;screen!$C13&amp;" = "&amp;ROUND(screen!F13,0)&amp;","</f>
        <v>p_tab_y = 6800,</v>
      </c>
      <c r="C8" s="6" t="str">
        <f>screen!$B12&amp;"_"&amp;screen!$C13&amp;" = "&amp;ROUND(screen!G13,0)&amp;","</f>
        <v>p_tab_y = 109,</v>
      </c>
      <c r="D8" s="6" t="str">
        <f>IF(screen!$H$2&lt;16/9,screen!$B12&amp;"_"&amp;screen!$C13&amp;" = "&amp;ROUND(screen!H13,0)&amp;",","")</f>
        <v>p_tab_y = 9397,</v>
      </c>
      <c r="E8" s="6" t="str">
        <f>IF(screen!$H$2&lt;16/9,screen!$B12&amp;"_"&amp;screen!$C13&amp;" = "&amp;ROUND(screen!I13,0)&amp;",","")</f>
        <v>p_tab_y = 151,</v>
      </c>
    </row>
    <row r="9" spans="1:5">
      <c r="A9" s="7" t="str">
        <f>screen!$B20&amp;"_"&amp;screen!$C20&amp;" = "&amp;ROUND(screen!E20,0)&amp;","</f>
        <v>p_add_x = 43500,</v>
      </c>
      <c r="B9" s="7" t="str">
        <f>screen!$B20&amp;"_"&amp;screen!$C20&amp;" = "&amp;ROUND(screen!F20,0)&amp;","</f>
        <v>p_add_x = 44693,</v>
      </c>
      <c r="C9" s="7" t="str">
        <f>screen!$B20&amp;"_"&amp;screen!$C20&amp;" = "&amp;ROUND(screen!G20,0)&amp;","</f>
        <v>p_add_x = 1146,</v>
      </c>
      <c r="D9" s="7" t="str">
        <f>IF(screen!$H$2&lt;16/9,screen!$B20&amp;"_"&amp;screen!$C20&amp;" = "&amp;ROUND(screen!H20,0)&amp;",","")</f>
        <v>p_add_x = 43500,</v>
      </c>
      <c r="E9" s="7" t="str">
        <f>IF(screen!$H$2&lt;16/9,screen!$B20&amp;"_"&amp;screen!$C20&amp;" = "&amp;ROUND(screen!I20,0)&amp;",","")</f>
        <v>p_add_x = 1115,</v>
      </c>
    </row>
    <row r="10" spans="1:5">
      <c r="A10" s="6" t="str">
        <f>screen!$B20&amp;"_"&amp;screen!$C21&amp;" = {"&amp;ROUND(screen!E21,0)&amp;", "&amp;ROUND(screen!E23,0)&amp;", "&amp;ROUND(screen!E25,0)&amp;", "&amp;ROUND(screen!E27,0)&amp;"},"</f>
        <v>p_add_y = {37171, 31522, 26056, 20347},</v>
      </c>
      <c r="B10" s="6" t="str">
        <f>screen!$B20&amp;"_"&amp;screen!$C21&amp;" = {"&amp;ROUND(screen!F21,0)&amp;", "&amp;ROUND(screen!F23,0)&amp;", "&amp;ROUND(screen!F25,0)&amp;", "&amp;ROUND(screen!F27,0)&amp;"},"</f>
        <v>p_add_y = {37171, 31522, 26056, 20347},</v>
      </c>
      <c r="C10" s="6" t="str">
        <f>screen!$B20&amp;"_"&amp;screen!$C21&amp;" = {"&amp;ROUND(screen!G21,0)&amp;", "&amp;ROUND(screen!G23,0)&amp;", "&amp;ROUND(screen!G25,0)&amp;", "&amp;ROUND(screen!G27,0)&amp;"},"</f>
        <v>p_add_y = {596, 505, 417, 326},</v>
      </c>
      <c r="D10" s="6" t="str">
        <f>IF(screen!$H$2&lt;16/9,screen!$B20&amp;"_"&amp;screen!$C21&amp;" = {"&amp;ROUND(screen!H21,0)&amp;", "&amp;ROUND(screen!H23,0)&amp;", "&amp;ROUND(screen!H25,0)&amp;", "&amp;ROUND(screen!H27,0)&amp;"},","")</f>
        <v>p_add_y = {36731, 31647, 26727, 21589},</v>
      </c>
      <c r="E10" s="6" t="str">
        <f>IF(screen!$H$2&lt;16/9,screen!$B20&amp;"_"&amp;screen!$C21&amp;" = {"&amp;ROUND(screen!I21,0)&amp;", "&amp;ROUND(screen!I23,0)&amp;", "&amp;ROUND(screen!I25,0)&amp;", "&amp;ROUND(screen!I27,0)&amp;"},","")</f>
        <v>p_add_y = {588, 507, 428, 346},</v>
      </c>
    </row>
    <row r="11" spans="1:5">
      <c r="A11" s="7" t="str">
        <f>screen!$B28&amp;"_"&amp;screen!$C28&amp;" = "&amp;ROUND(screen!E28,0)&amp;","</f>
        <v>p_reset_x = 32819,</v>
      </c>
      <c r="B11" s="7" t="str">
        <f>screen!$B28&amp;"_"&amp;screen!$C28&amp;" = "&amp;ROUND(screen!F28,0)&amp;","</f>
        <v>p_reset_x = 32825,</v>
      </c>
      <c r="C11" s="7" t="str">
        <f>screen!$B28&amp;"_"&amp;screen!$C28&amp;" = "&amp;ROUND(screen!G28,0)&amp;","</f>
        <v>p_reset_x = 841,</v>
      </c>
      <c r="D11" s="7" t="str">
        <f>IF(screen!$H$2&lt;16/9,screen!$B28&amp;"_"&amp;screen!$C28&amp;" = "&amp;ROUND(screen!H28,0)&amp;",","")</f>
        <v>p_reset_x = 32819,</v>
      </c>
      <c r="E11" s="7" t="str">
        <f>IF(screen!$H$2&lt;16/9,screen!$B28&amp;"_"&amp;screen!$C28&amp;" = "&amp;ROUND(screen!I28,0)&amp;",","")</f>
        <v>p_reset_x = 841,</v>
      </c>
    </row>
    <row r="12" spans="1:5">
      <c r="A12" s="6" t="str">
        <f>screen!$B28&amp;"_"&amp;screen!$C29&amp;" = "&amp;ROUND(screen!E29,0)&amp;","</f>
        <v>p_reset_y = 44520,</v>
      </c>
      <c r="B12" s="6" t="str">
        <f>screen!$B28&amp;"_"&amp;screen!$C29&amp;" = "&amp;ROUND(screen!F29,0)&amp;","</f>
        <v>p_reset_y = 44520,</v>
      </c>
      <c r="C12" s="6" t="str">
        <f>screen!$B28&amp;"_"&amp;screen!$C29&amp;" = "&amp;ROUND(screen!G29,0)&amp;","</f>
        <v>p_reset_y = 713,</v>
      </c>
      <c r="D12" s="6" t="str">
        <f>IF(screen!$H$2&lt;16/9,screen!$B28&amp;"_"&amp;screen!$C29&amp;" = "&amp;ROUND(screen!H29,0)&amp;",","")</f>
        <v>p_reset_y = 43345,</v>
      </c>
      <c r="E12" s="6" t="str">
        <f>IF(screen!$H$2&lt;16/9,screen!$B28&amp;"_"&amp;screen!$C29&amp;" = "&amp;ROUND(screen!I29,0)&amp;",","")</f>
        <v>p_reset_y = 694,</v>
      </c>
    </row>
    <row r="13" spans="1:5">
      <c r="A13" s="7" t="str">
        <f>screen!$B30&amp;"_"&amp;screen!$C30&amp;" = "&amp;ROUND(screen!E30,0)&amp;","</f>
        <v>p_accept_x = 28311,</v>
      </c>
      <c r="B13" s="7" t="str">
        <f>screen!$B30&amp;"_"&amp;screen!$C30&amp;" = "&amp;ROUND(screen!F30,0)&amp;","</f>
        <v>p_accept_x = 27816,</v>
      </c>
      <c r="C13" s="7" t="str">
        <f>screen!$B30&amp;"_"&amp;screen!$C30&amp;" = "&amp;ROUND(screen!G30,0)&amp;","</f>
        <v>p_accept_x = 713,</v>
      </c>
      <c r="D13" s="7" t="str">
        <f>IF(screen!$H$2&lt;16/9,screen!$B30&amp;"_"&amp;screen!$C30&amp;" = "&amp;ROUND(screen!H30,0)&amp;",","")</f>
        <v>p_accept_x = 28311,</v>
      </c>
      <c r="E13" s="7" t="str">
        <f>IF(screen!$H$2&lt;16/9,screen!$B30&amp;"_"&amp;screen!$C30&amp;" = "&amp;ROUND(screen!I30,0)&amp;",","")</f>
        <v>p_accept_x = 726,</v>
      </c>
    </row>
    <row r="14" spans="1:5">
      <c r="A14" s="6" t="str">
        <f>screen!$B30&amp;"_"&amp;screen!$C31&amp;" = "&amp;ROUND(screen!E31,0)&amp;","</f>
        <v>p_accept_y = 49500,</v>
      </c>
      <c r="B14" s="6" t="str">
        <f>screen!$B30&amp;"_"&amp;screen!$C31&amp;" = "&amp;ROUND(screen!F31,0)&amp;","</f>
        <v>p_accept_y = 49500,</v>
      </c>
      <c r="C14" s="6" t="str">
        <f>screen!$B30&amp;"_"&amp;screen!$C31&amp;" = "&amp;ROUND(screen!G31,0)&amp;","</f>
        <v>p_accept_y = 793,</v>
      </c>
      <c r="D14" s="6" t="str">
        <f>IF(screen!$H$2&lt;16/9,screen!$B30&amp;"_"&amp;screen!$C31&amp;" = "&amp;ROUND(screen!H31,0)&amp;",","")</f>
        <v>p_accept_y = 47827,</v>
      </c>
      <c r="E14" s="6" t="str">
        <f>IF(screen!$H$2&lt;16/9,screen!$B30&amp;"_"&amp;screen!$C31&amp;" = "&amp;ROUND(screen!I31,0)&amp;",","")</f>
        <v>p_accept_y = 766,</v>
      </c>
    </row>
    <row r="15" spans="1:5">
      <c r="A15" s="7" t="str">
        <f>screen!$B32&amp;"_"&amp;screen!$C32&amp;" = "&amp;ROUND(screen!E32,0)&amp;","</f>
        <v>a1_icon_x = 25135,</v>
      </c>
      <c r="B15" s="7" t="str">
        <f>screen!$B32&amp;"_"&amp;screen!$C32&amp;" = "&amp;ROUND(screen!F32,0)&amp;","</f>
        <v>a1_icon_x = 24287,</v>
      </c>
      <c r="C15" s="7" t="str">
        <f>screen!$B32&amp;"_"&amp;screen!$C32&amp;" = "&amp;ROUND(screen!G32,0)&amp;","</f>
        <v>a1_icon_x = 623,</v>
      </c>
      <c r="D15" s="7" t="str">
        <f>IF(screen!$H$2&lt;16/9,screen!$B32&amp;"_"&amp;screen!$C32&amp;" = "&amp;ROUND(screen!H32,0)&amp;",","")</f>
        <v>a1_icon_x = 25135,</v>
      </c>
      <c r="E15" s="7" t="str">
        <f>IF(screen!$H$2&lt;16/9,screen!$B32&amp;"_"&amp;screen!$C32&amp;" = "&amp;ROUND(screen!I32,0)&amp;",","")</f>
        <v>a1_icon_x = 644,</v>
      </c>
    </row>
    <row r="16" spans="1:5">
      <c r="A16" s="6" t="str">
        <f>screen!$B32&amp;"_"&amp;screen!$C33&amp;" = "&amp;ROUND(screen!E33,0)&amp;","</f>
        <v>a1_icon_y = 37475,</v>
      </c>
      <c r="B16" s="6" t="str">
        <f>screen!$B32&amp;"_"&amp;screen!$C33&amp;" = "&amp;ROUND(screen!F33,0)&amp;","</f>
        <v>a1_icon_y = 37475,</v>
      </c>
      <c r="C16" s="6" t="str">
        <f>screen!$B32&amp;"_"&amp;screen!$C33&amp;" = "&amp;ROUND(screen!G33,0)&amp;","</f>
        <v>a1_icon_y = 600,</v>
      </c>
      <c r="D16" s="6" t="str">
        <f>IF(screen!$H$2&lt;16/9,screen!$B32&amp;"_"&amp;screen!$C33&amp;" = "&amp;ROUND(screen!H33,0)&amp;",","")</f>
        <v>a1_icon_y = 37004,</v>
      </c>
      <c r="E16" s="6" t="str">
        <f>IF(screen!$H$2&lt;16/9,screen!$B32&amp;"_"&amp;screen!$C33&amp;" = "&amp;ROUND(screen!I33,0)&amp;",","")</f>
        <v>a1_icon_y = 593,</v>
      </c>
    </row>
    <row r="17" spans="1:5">
      <c r="A17" s="7" t="str">
        <f>screen!$B34&amp;"_"&amp;screen!$C34&amp;" = "&amp;ROUND(screen!E34,0)&amp;","</f>
        <v>a1_town_x = 34697,</v>
      </c>
      <c r="B17" s="7" t="str">
        <f>screen!$B34&amp;"_"&amp;screen!$C34&amp;" = "&amp;ROUND(screen!F34,0)&amp;","</f>
        <v>a1_town_x = 34911,</v>
      </c>
      <c r="C17" s="7" t="str">
        <f>screen!$B34&amp;"_"&amp;screen!$C34&amp;" = "&amp;ROUND(screen!G34,0)&amp;","</f>
        <v>a1_town_x = 895,</v>
      </c>
      <c r="D17" s="7" t="str">
        <f>IF(screen!$H$2&lt;16/9,screen!$B34&amp;"_"&amp;screen!$C34&amp;" = "&amp;ROUND(screen!H34,0)&amp;",","")</f>
        <v>a1_town_x = 34697,</v>
      </c>
      <c r="E17" s="7" t="str">
        <f>IF(screen!$H$2&lt;16/9,screen!$B34&amp;"_"&amp;screen!$C34&amp;" = "&amp;ROUND(screen!I34,0)&amp;",","")</f>
        <v>a1_town_x = 889,</v>
      </c>
    </row>
    <row r="18" spans="1:5">
      <c r="A18" s="6" t="str">
        <f>screen!$B34&amp;"_"&amp;screen!$C35&amp;" = "&amp;ROUND(screen!E35,0)&amp;","</f>
        <v>a1_town_y = 29336,</v>
      </c>
      <c r="B18" s="6" t="str">
        <f>screen!$B34&amp;"_"&amp;screen!$C35&amp;" = "&amp;ROUND(screen!F35,0)&amp;","</f>
        <v>a1_town_y = 29336,</v>
      </c>
      <c r="C18" s="6" t="str">
        <f>screen!$B34&amp;"_"&amp;screen!$C35&amp;" = "&amp;ROUND(screen!G35,0)&amp;","</f>
        <v>a1_town_y = 470,</v>
      </c>
      <c r="D18" s="6" t="str">
        <f>IF(screen!$H$2&lt;16/9,screen!$B34&amp;"_"&amp;screen!$C35&amp;" = "&amp;ROUND(screen!H35,0)&amp;",","")</f>
        <v>a1_town_y = 29679,</v>
      </c>
      <c r="E18" s="6" t="str">
        <f>IF(screen!$H$2&lt;16/9,screen!$B34&amp;"_"&amp;screen!$C35&amp;" = "&amp;ROUND(screen!I35,0)&amp;",","")</f>
        <v>a1_town_y = 476,</v>
      </c>
    </row>
    <row r="19" spans="1:5">
      <c r="A19" s="7" t="str">
        <f>screen!$B36&amp;"_"&amp;screen!$C36&amp;" = "&amp;ROUND(screen!E36,0)&amp;","</f>
        <v>a2_icon_x = 37088,</v>
      </c>
      <c r="B19" s="7" t="str">
        <f>screen!$B36&amp;"_"&amp;screen!$C36&amp;" = "&amp;ROUND(screen!F36,0)&amp;","</f>
        <v>a2_icon_x = 37568,</v>
      </c>
      <c r="C19" s="7" t="str">
        <f>screen!$B36&amp;"_"&amp;screen!$C36&amp;" = "&amp;ROUND(screen!G36,0)&amp;","</f>
        <v>a2_icon_x = 963,</v>
      </c>
      <c r="D19" s="7" t="str">
        <f>IF(screen!$H$2&lt;16/9,screen!$B36&amp;"_"&amp;screen!$C36&amp;" = "&amp;ROUND(screen!H36,0)&amp;",","")</f>
        <v>a2_icon_x = 37088,</v>
      </c>
      <c r="E19" s="7" t="str">
        <f>IF(screen!$H$2&lt;16/9,screen!$B36&amp;"_"&amp;screen!$C36&amp;" = "&amp;ROUND(screen!I36,0)&amp;",","")</f>
        <v>a2_icon_x = 951,</v>
      </c>
    </row>
    <row r="20" spans="1:5">
      <c r="A20" s="6" t="str">
        <f>screen!$B36&amp;"_"&amp;screen!$C37&amp;" = "&amp;ROUND(screen!E37,0)&amp;","</f>
        <v>a2_icon_y = 31462,</v>
      </c>
      <c r="B20" s="6" t="str">
        <f>screen!$B36&amp;"_"&amp;screen!$C37&amp;" = "&amp;ROUND(screen!F37,0)&amp;","</f>
        <v>a2_icon_y = 31462,</v>
      </c>
      <c r="C20" s="6" t="str">
        <f>screen!$B36&amp;"_"&amp;screen!$C37&amp;" = "&amp;ROUND(screen!G37,0)&amp;","</f>
        <v>a2_icon_y = 504,</v>
      </c>
      <c r="D20" s="6" t="str">
        <f>IF(screen!$H$2&lt;16/9,screen!$B36&amp;"_"&amp;screen!$C37&amp;" = "&amp;ROUND(screen!H37,0)&amp;",","")</f>
        <v>a2_icon_y = 31593,</v>
      </c>
      <c r="E20" s="6" t="str">
        <f>IF(screen!$H$2&lt;16/9,screen!$B36&amp;"_"&amp;screen!$C37&amp;" = "&amp;ROUND(screen!I37,0)&amp;",","")</f>
        <v>a2_icon_y = 506,</v>
      </c>
    </row>
    <row r="21" spans="1:5">
      <c r="A21" s="7" t="str">
        <f>screen!$B40&amp;"_"&amp;screen!$C40&amp;" = "&amp;ROUND(screen!E40,0)&amp;","</f>
        <v>leave_team_x = 29004,</v>
      </c>
      <c r="B21" s="7" t="str">
        <f>screen!$B40&amp;"_"&amp;screen!$C40&amp;" = "&amp;ROUND(screen!F40,0)&amp;","</f>
        <v>leave_team_x = 28586,</v>
      </c>
      <c r="C21" s="7" t="str">
        <f>screen!$B40&amp;"_"&amp;screen!$C40&amp;" = "&amp;ROUND(screen!G40,0)&amp;","</f>
        <v>leave_team_x = 733,</v>
      </c>
      <c r="D21" s="7" t="str">
        <f>IF(screen!$H$2&lt;16/9,screen!$B40&amp;"_"&amp;screen!$C40&amp;" = "&amp;ROUND(screen!H40,0)&amp;",","")</f>
        <v>leave_team_x = 29004,</v>
      </c>
      <c r="E21" s="7" t="str">
        <f>IF(screen!$H$2&lt;16/9,screen!$B40&amp;"_"&amp;screen!$C40&amp;" = "&amp;ROUND(screen!I40,0)&amp;",","")</f>
        <v>leave_team_x = 744,</v>
      </c>
    </row>
    <row r="22" spans="1:5">
      <c r="A22" s="6" t="str">
        <f>screen!$B40&amp;"_"&amp;screen!$C41&amp;" = "&amp;ROUND(screen!E41,0)&amp;","</f>
        <v>leave_team_y = 39867,</v>
      </c>
      <c r="B22" s="6" t="str">
        <f>screen!$B40&amp;"_"&amp;screen!$C41&amp;" = "&amp;ROUND(screen!F41,0)&amp;","</f>
        <v>leave_team_y = 39867,</v>
      </c>
      <c r="C22" s="6" t="str">
        <f>screen!$B40&amp;"_"&amp;screen!$C41&amp;" = "&amp;ROUND(screen!G41,0)&amp;","</f>
        <v>leave_team_y = 639,</v>
      </c>
      <c r="D22" s="6" t="str">
        <f>IF(screen!$H$2&lt;16/9,screen!$B40&amp;"_"&amp;screen!$C41&amp;" = "&amp;ROUND(screen!H41,0)&amp;",","")</f>
        <v>leave_team_y = 39157,</v>
      </c>
      <c r="E22" s="6" t="str">
        <f>IF(screen!$H$2&lt;16/9,screen!$B40&amp;"_"&amp;screen!$C41&amp;" = "&amp;ROUND(screen!I41,0)&amp;",","")</f>
        <v>leave_team_y = 627,</v>
      </c>
    </row>
    <row r="23" spans="1:5">
      <c r="A23" s="7" t="str">
        <f>screen!$B42&amp;"_"&amp;screen!$C42&amp;" = "&amp;ROUND(screen!E42,0)&amp;","</f>
        <v>role_ori_x = 32768,</v>
      </c>
      <c r="B23" s="7" t="str">
        <f>screen!$B42&amp;"_"&amp;screen!$C42&amp;" = "&amp;ROUND(screen!F42,0)&amp;","</f>
        <v>role_ori_x = 32768,</v>
      </c>
      <c r="C23" s="7" t="str">
        <f>screen!$B42&amp;"_"&amp;screen!$C42&amp;" = "&amp;ROUND(screen!G42,0)&amp;","</f>
        <v>role_ori_x = 840,</v>
      </c>
      <c r="D23" s="7" t="str">
        <f>IF(screen!$H$2&lt;16/9,screen!$B42&amp;"_"&amp;screen!$C42&amp;" = "&amp;ROUND(screen!H42,0)&amp;",","")</f>
        <v>role_ori_x = 32768,</v>
      </c>
      <c r="E23" s="7" t="str">
        <f>IF(screen!$H$2&lt;16/9,screen!$B42&amp;"_"&amp;screen!$C42&amp;" = "&amp;ROUND(screen!I42,0)&amp;",","")</f>
        <v>role_ori_x = 840,</v>
      </c>
    </row>
    <row r="24" spans="1:5">
      <c r="A24" s="6" t="str">
        <f>screen!$B42&amp;"_"&amp;screen!$C43&amp;" = "&amp;ROUND(screen!E43,0)&amp;","</f>
        <v>role_ori_y = 30700,</v>
      </c>
      <c r="B24" s="6" t="str">
        <f>screen!$B42&amp;"_"&amp;screen!$C43&amp;" = "&amp;ROUND(screen!F43,0)&amp;","</f>
        <v>role_ori_y = 30700,</v>
      </c>
      <c r="C24" s="6" t="str">
        <f>screen!$B42&amp;"_"&amp;screen!$C43&amp;" = "&amp;ROUND(screen!G43,0)&amp;","</f>
        <v>role_ori_y = 492,</v>
      </c>
      <c r="D24" s="6" t="str">
        <f>IF(screen!$H$2&lt;16/9,screen!$B42&amp;"_"&amp;screen!$C43&amp;" = "&amp;ROUND(screen!H43,0)&amp;",","")</f>
        <v>role_ori_y = 30907,</v>
      </c>
      <c r="E24" s="6" t="str">
        <f>IF(screen!$H$2&lt;16/9,screen!$B42&amp;"_"&amp;screen!$C43&amp;" = "&amp;ROUND(screen!I43,0)&amp;",","")</f>
        <v>role_ori_y = 495,</v>
      </c>
    </row>
    <row r="25" spans="1:5">
      <c r="A25" s="10" t="s">
        <v>69</v>
      </c>
      <c r="B25" s="10" t="s">
        <v>69</v>
      </c>
      <c r="C25" s="10" t="s">
        <v>69</v>
      </c>
      <c r="D25" s="10" t="str">
        <f>IF(screen!$H$2&lt;16/9,"-- right","")</f>
        <v>-- right</v>
      </c>
      <c r="E25" s="10" t="str">
        <f>IF(screen!$H$2&lt;16/9,"-- right","")</f>
        <v>-- right</v>
      </c>
    </row>
    <row r="26" spans="1:5">
      <c r="A26" s="7" t="str">
        <f>screen!$B45&amp;"_"&amp;screen!$C45&amp;" = "&amp;ROUND(screen!E45,0)&amp;","</f>
        <v>grid_start_x = 48747,</v>
      </c>
      <c r="B26" s="7" t="str">
        <f>screen!$B45&amp;"_"&amp;screen!$C45&amp;" = "&amp;ROUND(screen!F45,0)&amp;","</f>
        <v>grid_start_x = 46882,</v>
      </c>
      <c r="C26" s="7" t="str">
        <f>screen!$B45&amp;"_"&amp;screen!$C45&amp;" = "&amp;ROUND(screen!G45,0)&amp;","</f>
        <v>grid_start_x = 1202,</v>
      </c>
      <c r="D26" s="7" t="str">
        <f>IF(screen!$H$2&lt;16/9,screen!$B45&amp;"_"&amp;screen!$C45&amp;" = "&amp;ROUND(screen!H45,0)&amp;",","")</f>
        <v>grid_start_x = 48747,</v>
      </c>
      <c r="E26" s="7" t="str">
        <f>IF(screen!$H$2&lt;16/9,screen!$B45&amp;"_"&amp;screen!$C45&amp;" = "&amp;ROUND(screen!I45,0)&amp;",","")</f>
        <v>grid_start_x = 1250,</v>
      </c>
    </row>
    <row r="27" spans="1:5">
      <c r="A27" s="6" t="str">
        <f>screen!$B45&amp;"_"&amp;screen!$C46&amp;" = "&amp;ROUND(screen!E46,0)&amp;","</f>
        <v>grid_start_y = 35470,</v>
      </c>
      <c r="B27" s="6" t="str">
        <f>screen!$B45&amp;"_"&amp;screen!$C46&amp;" = "&amp;ROUND(screen!F46,0)&amp;","</f>
        <v>grid_start_y = 35470,</v>
      </c>
      <c r="C27" s="6" t="str">
        <f>screen!$B45&amp;"_"&amp;screen!$C46&amp;" = "&amp;ROUND(screen!G46,0)&amp;","</f>
        <v>grid_start_y = 568,</v>
      </c>
      <c r="D27" s="6" t="str">
        <f>IF(screen!$H$2&lt;16/9,screen!$B45&amp;"_"&amp;screen!$C46&amp;" = "&amp;ROUND(screen!H46,0)&amp;",","")</f>
        <v>grid_start_y = 35200,</v>
      </c>
      <c r="E27" s="6" t="str">
        <f>IF(screen!$H$2&lt;16/9,screen!$B45&amp;"_"&amp;screen!$C46&amp;" = "&amp;ROUND(screen!I46,0)&amp;",","")</f>
        <v>grid_start_y = 564,</v>
      </c>
    </row>
    <row r="28" spans="1:5">
      <c r="A28" s="7" t="str">
        <f>screen!$B47&amp;"_"&amp;screen!$C47&amp;" = "&amp;ROUND(screen!E47,0)&amp;","</f>
        <v>grid_end_x = 64272,</v>
      </c>
      <c r="B28" s="7" t="str">
        <f>screen!$B47&amp;"_"&amp;screen!$C47&amp;" = "&amp;ROUND(screen!F47,0)&amp;","</f>
        <v>grid_end_x = 64132,</v>
      </c>
      <c r="C28" s="7" t="str">
        <f>screen!$B47&amp;"_"&amp;screen!$C47&amp;" = "&amp;ROUND(screen!G47,0)&amp;","</f>
        <v>grid_end_x = 1644,</v>
      </c>
      <c r="D28" s="7" t="str">
        <f>IF(screen!$H$2&lt;16/9,screen!$B47&amp;"_"&amp;screen!$C47&amp;" = "&amp;ROUND(screen!H47,0)&amp;",","")</f>
        <v>grid_end_x = 64272,</v>
      </c>
      <c r="E28" s="7" t="str">
        <f>IF(screen!$H$2&lt;16/9,screen!$B47&amp;"_"&amp;screen!$C47&amp;" = "&amp;ROUND(screen!I47,0)&amp;",","")</f>
        <v>grid_end_x = 1648,</v>
      </c>
    </row>
    <row r="29" spans="1:5">
      <c r="A29" s="6" t="str">
        <f>screen!$B47&amp;"_"&amp;screen!$C48&amp;" = "&amp;ROUND(screen!E48,0)&amp;","</f>
        <v>grid_end_y = 50608,</v>
      </c>
      <c r="B29" s="6" t="str">
        <f>screen!$B47&amp;"_"&amp;screen!$C48&amp;" = "&amp;ROUND(screen!F48,0)&amp;","</f>
        <v>grid_end_y = 50608,</v>
      </c>
      <c r="C29" s="6" t="str">
        <f>screen!$B47&amp;"_"&amp;screen!$C48&amp;" = "&amp;ROUND(screen!G48,0)&amp;","</f>
        <v>grid_end_y = 811,</v>
      </c>
      <c r="D29" s="6" t="str">
        <f>IF(screen!$H$2&lt;16/9,screen!$B47&amp;"_"&amp;screen!$C48&amp;" = "&amp;ROUND(screen!H48,0)&amp;",","")</f>
        <v>grid_end_y = 48824,</v>
      </c>
      <c r="E29" s="6" t="str">
        <f>IF(screen!$H$2&lt;16/9,screen!$B47&amp;"_"&amp;screen!$C48&amp;" = "&amp;ROUND(screen!I48,0)&amp;",","")</f>
        <v>grid_end_y = 782,</v>
      </c>
    </row>
    <row r="30" spans="1:5">
      <c r="A30" s="7" t="str">
        <f>screen!$B49&amp;"_"&amp;screen!$C49&amp;" = "&amp;ROUND(screen!E49,0)&amp;","</f>
        <v>accept_invite_x = 0,</v>
      </c>
      <c r="B30" s="7" t="str">
        <f>screen!$B49&amp;"_"&amp;screen!$C49&amp;" = "&amp;ROUND(screen!F49,0)&amp;","</f>
        <v>accept_invite_x = 0,</v>
      </c>
      <c r="C30" s="7" t="str">
        <f>screen!$B49&amp;"_"&amp;screen!$C49&amp;" = "&amp;ROUND(screen!G49,0)&amp;","</f>
        <v>accept_invite_x = 0,</v>
      </c>
      <c r="D30" s="7" t="str">
        <f>IF(screen!$H$2&lt;16/9,screen!$B49&amp;"_"&amp;screen!$C49&amp;" = "&amp;ROUND(screen!H49,0)&amp;",","")</f>
        <v>accept_invite_x = 0,</v>
      </c>
      <c r="E30" s="7" t="str">
        <f>IF(screen!$H$2&lt;16/9,screen!$B49&amp;"_"&amp;screen!$C49&amp;" = "&amp;ROUND(screen!I49,0)&amp;",","")</f>
        <v>accept_invite_x = 0,</v>
      </c>
    </row>
    <row r="31" spans="1:5">
      <c r="A31" s="6" t="str">
        <f>screen!$B49&amp;"_"&amp;screen!$C50&amp;" = "&amp;ROUND(screen!E50,0)&amp;","</f>
        <v>accept_invite_y = 0,</v>
      </c>
      <c r="B31" s="6" t="str">
        <f>screen!$B49&amp;"_"&amp;screen!$C50&amp;" = "&amp;ROUND(screen!F50,0)&amp;","</f>
        <v>accept_invite_y = 0,</v>
      </c>
      <c r="C31" s="6" t="str">
        <f>screen!$B49&amp;"_"&amp;screen!$C50&amp;" = "&amp;ROUND(screen!G50,0)&amp;","</f>
        <v>accept_invite_y = 0,</v>
      </c>
      <c r="D31" s="6" t="str">
        <f>IF(screen!$H$2&lt;16/9,screen!$B49&amp;"_"&amp;screen!$C50&amp;" = "&amp;ROUND(screen!H50,0)&amp;",","")</f>
        <v>accept_invite_y = 0,</v>
      </c>
      <c r="E31" s="6" t="str">
        <f>IF(screen!$H$2&lt;16/9,screen!$B49&amp;"_"&amp;screen!$C50&amp;" = "&amp;ROUND(screen!I50,0)&amp;",","")</f>
        <v>accept_invite_y = 0,</v>
      </c>
    </row>
    <row r="32" spans="1:5">
      <c r="A32" s="10" t="s">
        <v>68</v>
      </c>
      <c r="B32" s="10" t="s">
        <v>68</v>
      </c>
      <c r="C32" s="10" t="s">
        <v>68</v>
      </c>
      <c r="D32" s="10" t="str">
        <f>IF(screen!$H$2&lt;16/9,"-- left","")</f>
        <v>-- left</v>
      </c>
      <c r="E32" s="10" t="str">
        <f>IF(screen!$H$2&lt;16/9,"-- left","")</f>
        <v>-- left</v>
      </c>
    </row>
    <row r="33" spans="1:5">
      <c r="A33" s="7" t="str">
        <f>screen!$B52&amp;"_"&amp;screen!$C52&amp;" = "&amp;ROUND(screen!E52,0)&amp;","</f>
        <v>leave_game_x = 7923,</v>
      </c>
      <c r="B33" s="7" t="str">
        <f>screen!$B52&amp;"_"&amp;screen!$C52&amp;" = "&amp;ROUND(screen!F52,0)&amp;","</f>
        <v>leave_game_x = 8803,</v>
      </c>
      <c r="C33" s="7" t="str">
        <f>screen!$B52&amp;"_"&amp;screen!$C52&amp;" = "&amp;ROUND(screen!G52,0)&amp;","</f>
        <v>leave_game_x = 226,</v>
      </c>
      <c r="D33" s="7" t="str">
        <f>IF(screen!$H$2&lt;16/9,screen!$B52&amp;"_"&amp;screen!$C52&amp;" = "&amp;ROUND(screen!H52,0)&amp;",","")</f>
        <v>leave_game_x = 7923,</v>
      </c>
      <c r="E33" s="7" t="str">
        <f>IF(screen!$H$2&lt;16/9,screen!$B52&amp;"_"&amp;screen!$C52&amp;" = "&amp;ROUND(screen!I52,0)&amp;",","")</f>
        <v>leave_game_x = 203,</v>
      </c>
    </row>
    <row r="34" spans="1:5">
      <c r="A34" s="6" t="str">
        <f>screen!$B52&amp;"_"&amp;screen!$C53&amp;" = "&amp;ROUND(screen!E53,0)&amp;","</f>
        <v>leave_game_y = 29275,</v>
      </c>
      <c r="B34" s="6" t="str">
        <f>screen!$B52&amp;"_"&amp;screen!$C53&amp;" = "&amp;ROUND(screen!F53,0)&amp;","</f>
        <v>leave_game_y = 29275,</v>
      </c>
      <c r="C34" s="6" t="str">
        <f>screen!$B52&amp;"_"&amp;screen!$C53&amp;" = "&amp;ROUND(screen!G53,0)&amp;","</f>
        <v>leave_game_y = 469,</v>
      </c>
      <c r="D34" s="6" t="str">
        <f>IF(screen!$H$2&lt;16/9,screen!$B52&amp;"_"&amp;screen!$C53&amp;" = "&amp;ROUND(screen!H53,0)&amp;",","")</f>
        <v>leave_game_y = 29624,</v>
      </c>
      <c r="E34" s="6" t="str">
        <f>IF(screen!$H$2&lt;16/9,screen!$B52&amp;"_"&amp;screen!$C53&amp;" = "&amp;ROUND(screen!I53,0)&amp;",","")</f>
        <v>leave_game_y = 475,</v>
      </c>
    </row>
    <row r="35" spans="1:5">
      <c r="A35" s="7" t="str">
        <f>screen!$B54&amp;"_"&amp;screen!$C54&amp;" = "&amp;ROUND(screen!E54,0)&amp;","</f>
        <v>start_game_x = 8192,</v>
      </c>
      <c r="B35" s="7" t="str">
        <f>screen!$B54&amp;"_"&amp;screen!$C54&amp;" = "&amp;ROUND(screen!F54,0)&amp;","</f>
        <v>start_game_x = 9102,</v>
      </c>
      <c r="C35" s="7" t="str">
        <f>screen!$B54&amp;"_"&amp;screen!$C54&amp;" = "&amp;ROUND(screen!G54,0)&amp;","</f>
        <v>start_game_x = 233,</v>
      </c>
      <c r="D35" s="7" t="str">
        <f>IF(screen!$H$2&lt;16/9,screen!$B54&amp;"_"&amp;screen!$C54&amp;" = "&amp;ROUND(screen!H54,0)&amp;",","")</f>
        <v>start_game_x = 8192,</v>
      </c>
      <c r="E35" s="7" t="str">
        <f>IF(screen!$H$2&lt;16/9,screen!$B54&amp;"_"&amp;screen!$C54&amp;" = "&amp;ROUND(screen!I54,0)&amp;",","")</f>
        <v>start_game_x = 210,</v>
      </c>
    </row>
    <row r="36" spans="1:5">
      <c r="A36" s="6" t="str">
        <f>screen!$B54&amp;"_"&amp;screen!$C55&amp;" = "&amp;ROUND(screen!E55,0)&amp;","</f>
        <v>start_game_y = 31457,</v>
      </c>
      <c r="B36" s="6" t="str">
        <f>screen!$B54&amp;"_"&amp;screen!$C55&amp;" = "&amp;ROUND(screen!F55,0)&amp;","</f>
        <v>start_game_y = 31457,</v>
      </c>
      <c r="C36" s="6" t="str">
        <f>screen!$B54&amp;"_"&amp;screen!$C55&amp;" = "&amp;ROUND(screen!G55,0)&amp;","</f>
        <v>start_game_y = 504,</v>
      </c>
      <c r="D36" s="6" t="str">
        <f>IF(screen!$H$2&lt;16/9,screen!$B54&amp;"_"&amp;screen!$C55&amp;" = "&amp;ROUND(screen!H55,0)&amp;",","")</f>
        <v>start_game_y = 31588,</v>
      </c>
      <c r="E36" s="6" t="str">
        <f>IF(screen!$H$2&lt;16/9,screen!$B54&amp;"_"&amp;screen!$C55&amp;" = "&amp;ROUND(screen!I55,0)&amp;",","")</f>
        <v>start_game_y = 506,</v>
      </c>
    </row>
    <row r="37" spans="1:5">
      <c r="A37" s="7" t="str">
        <f>screen!$B56&amp;"_"&amp;screen!$C56&amp;" = "&amp;ROUND(screen!E56,0)&amp;","</f>
        <v>cube_meterial_x = 24576,</v>
      </c>
      <c r="B37" s="7" t="str">
        <f>screen!$B56&amp;"_"&amp;screen!$C56&amp;" = "&amp;ROUND(screen!F56,0)&amp;","</f>
        <v>cube_meterial_x = 27307,</v>
      </c>
      <c r="C37" s="7" t="str">
        <f>screen!$B56&amp;"_"&amp;screen!$C56&amp;" = "&amp;ROUND(screen!G56,0)&amp;","</f>
        <v>cube_meterial_x = 700,</v>
      </c>
      <c r="D37" s="7" t="str">
        <f>IF(screen!$H$2&lt;16/9,screen!$B56&amp;"_"&amp;screen!$C56&amp;" = "&amp;ROUND(screen!H56,0)&amp;",","")</f>
        <v>cube_meterial_x = 24576,</v>
      </c>
      <c r="E37" s="7" t="str">
        <f>IF(screen!$H$2&lt;16/9,screen!$B56&amp;"_"&amp;screen!$C56&amp;" = "&amp;ROUND(screen!I56,0)&amp;",","")</f>
        <v>cube_meterial_x = 630,</v>
      </c>
    </row>
    <row r="38" spans="1:5">
      <c r="A38" s="6" t="str">
        <f>screen!$B56&amp;"_"&amp;screen!$C57&amp;" = "&amp;ROUND(screen!E57,0)&amp;","</f>
        <v>cube_meterial_y = 51882,</v>
      </c>
      <c r="B38" s="6" t="str">
        <f>screen!$B56&amp;"_"&amp;screen!$C57&amp;" = "&amp;ROUND(screen!F57,0)&amp;","</f>
        <v>cube_meterial_y = 51882,</v>
      </c>
      <c r="C38" s="6" t="str">
        <f>screen!$B56&amp;"_"&amp;screen!$C57&amp;" = "&amp;ROUND(screen!G57,0)&amp;","</f>
        <v>cube_meterial_y = 831,</v>
      </c>
      <c r="D38" s="6" t="str">
        <f>IF(screen!$H$2&lt;16/9,screen!$B56&amp;"_"&amp;screen!$C57&amp;" = "&amp;ROUND(screen!H57,0)&amp;",","")</f>
        <v>cube_meterial_y = 49971,</v>
      </c>
      <c r="E38" s="6" t="str">
        <f>IF(screen!$H$2&lt;16/9,screen!$B56&amp;"_"&amp;screen!$C57&amp;" = "&amp;ROUND(screen!I57,0)&amp;",","")</f>
        <v>cube_meterial_y = 801,</v>
      </c>
    </row>
    <row r="39" spans="1:5">
      <c r="A39" s="7" t="str">
        <f>screen!$B58&amp;"_"&amp;screen!$C58&amp;" = "&amp;ROUND(screen!E58,0)&amp;","</f>
        <v>cube_accept_x = 8190,</v>
      </c>
      <c r="B39" s="7" t="str">
        <f>screen!$B58&amp;"_"&amp;screen!$C58&amp;" = "&amp;ROUND(screen!F58,0)&amp;","</f>
        <v>cube_accept_x = 9100,</v>
      </c>
      <c r="C39" s="7" t="str">
        <f>screen!$B58&amp;"_"&amp;screen!$C58&amp;" = "&amp;ROUND(screen!G58,0)&amp;","</f>
        <v>cube_accept_x = 233,</v>
      </c>
      <c r="D39" s="7" t="str">
        <f>IF(screen!$H$2&lt;16/9,screen!$B58&amp;"_"&amp;screen!$C58&amp;" = "&amp;ROUND(screen!H58,0)&amp;",","")</f>
        <v>cube_accept_x = 8190,</v>
      </c>
      <c r="E39" s="7" t="str">
        <f>IF(screen!$H$2&lt;16/9,screen!$B58&amp;"_"&amp;screen!$C58&amp;" = "&amp;ROUND(screen!I58,0)&amp;",","")</f>
        <v>cube_accept_x = 210,</v>
      </c>
    </row>
    <row r="40" spans="1:5">
      <c r="A40" s="6" t="str">
        <f>screen!$B58&amp;"_"&amp;screen!$C59&amp;" = "&amp;ROUND(screen!E59,0)&amp;","</f>
        <v>cube_accept_y = 50060,</v>
      </c>
      <c r="B40" s="6" t="str">
        <f>screen!$B58&amp;"_"&amp;screen!$C59&amp;" = "&amp;ROUND(screen!F59,0)&amp;","</f>
        <v>cube_accept_y = 50060,</v>
      </c>
      <c r="C40" s="6" t="str">
        <f>screen!$B58&amp;"_"&amp;screen!$C59&amp;" = "&amp;ROUND(screen!G59,0)&amp;","</f>
        <v>cube_accept_y = 802,</v>
      </c>
      <c r="D40" s="6" t="str">
        <f>IF(screen!$H$2&lt;16/9,screen!$B58&amp;"_"&amp;screen!$C59&amp;" = "&amp;ROUND(screen!H59,0)&amp;",","")</f>
        <v>cube_accept_y = 48331,</v>
      </c>
      <c r="E40" s="6" t="str">
        <f>IF(screen!$H$2&lt;16/9,screen!$B58&amp;"_"&amp;screen!$C59&amp;" = "&amp;ROUND(screen!I59,0)&amp;",","")</f>
        <v>cube_accept_y = 774,</v>
      </c>
    </row>
    <row r="41" spans="1:5">
      <c r="A41" s="7" t="str">
        <f>screen!$B60&amp;"_"&amp;screen!$C60&amp;" = "&amp;ROUND(screen!E60,0)&amp;","</f>
        <v>cube_previous_x = 2000,</v>
      </c>
      <c r="B41" s="7" t="str">
        <f>screen!$B60&amp;"_"&amp;screen!$C60&amp;" = "&amp;ROUND(screen!F60,0)&amp;","</f>
        <v>cube_previous_x = 2222,</v>
      </c>
      <c r="C41" s="7" t="str">
        <f>screen!$B60&amp;"_"&amp;screen!$C60&amp;" = "&amp;ROUND(screen!G60,0)&amp;","</f>
        <v>cube_previous_x = 57,</v>
      </c>
      <c r="D41" s="7" t="str">
        <f>IF(screen!$H$2&lt;16/9,screen!$B60&amp;"_"&amp;screen!$C60&amp;" = "&amp;ROUND(screen!H60,0)&amp;",","")</f>
        <v>cube_previous_x = 2000,</v>
      </c>
      <c r="E41" s="7" t="str">
        <f>IF(screen!$H$2&lt;16/9,screen!$B60&amp;"_"&amp;screen!$C60&amp;" = "&amp;ROUND(screen!I60,0)&amp;",","")</f>
        <v>cube_previous_x = 51,</v>
      </c>
    </row>
    <row r="42" spans="1:5">
      <c r="A42" s="6" t="str">
        <f>screen!$B60&amp;"_"&amp;screen!$C61&amp;" = "&amp;ROUND(screen!E61,0)&amp;","</f>
        <v>cube_previous_y = 50500,</v>
      </c>
      <c r="B42" s="6" t="str">
        <f>screen!$B60&amp;"_"&amp;screen!$C61&amp;" = "&amp;ROUND(screen!F61,0)&amp;","</f>
        <v>cube_previous_y = 50500,</v>
      </c>
      <c r="C42" s="6" t="str">
        <f>screen!$B60&amp;"_"&amp;screen!$C61&amp;" = "&amp;ROUND(screen!G61,0)&amp;","</f>
        <v>cube_previous_y = 809,</v>
      </c>
      <c r="D42" s="6" t="str">
        <f>IF(screen!$H$2&lt;16/9,screen!$B60&amp;"_"&amp;screen!$C61&amp;" = "&amp;ROUND(screen!H61,0)&amp;",","")</f>
        <v>cube_previous_y = 48727,</v>
      </c>
      <c r="E42" s="6" t="str">
        <f>IF(screen!$H$2&lt;16/9,screen!$B60&amp;"_"&amp;screen!$C61&amp;" = "&amp;ROUND(screen!I61,0)&amp;",","")</f>
        <v>cube_previous_y = 781,</v>
      </c>
    </row>
    <row r="43" spans="1:5">
      <c r="A43" s="7" t="str">
        <f>screen!$B62&amp;"_"&amp;screen!$C62&amp;" = "&amp;ROUND(screen!E62,0)&amp;","</f>
        <v>cube_next_x = 2900,</v>
      </c>
      <c r="B43" s="7" t="str">
        <f>screen!$B62&amp;"_"&amp;screen!$C62&amp;" = "&amp;ROUND(screen!F62,0)&amp;","</f>
        <v>cube_next_x = 3222,</v>
      </c>
      <c r="C43" s="7" t="str">
        <f>screen!$B62&amp;"_"&amp;screen!$C62&amp;" = "&amp;ROUND(screen!G62,0)&amp;","</f>
        <v>cube_next_x = 83,</v>
      </c>
      <c r="D43" s="7" t="str">
        <f>IF(screen!$H$2&lt;16/9,screen!$B62&amp;"_"&amp;screen!$C62&amp;" = "&amp;ROUND(screen!H62,0)&amp;",","")</f>
        <v>cube_next_x = 2900,</v>
      </c>
      <c r="E43" s="7" t="str">
        <f>IF(screen!$H$2&lt;16/9,screen!$B62&amp;"_"&amp;screen!$C62&amp;" = "&amp;ROUND(screen!I62,0)&amp;",","")</f>
        <v>cube_next_x = 74,</v>
      </c>
    </row>
    <row r="44" spans="1:5">
      <c r="A44" s="6" t="str">
        <f>screen!$B62&amp;"_"&amp;screen!$C63&amp;" = "&amp;ROUND(screen!E63,0)&amp;","</f>
        <v>cube_next_y = 50500,</v>
      </c>
      <c r="B44" s="6" t="str">
        <f>screen!$B62&amp;"_"&amp;screen!$C63&amp;" = "&amp;ROUND(screen!F63,0)&amp;","</f>
        <v>cube_next_y = 50500,</v>
      </c>
      <c r="C44" s="6" t="str">
        <f>screen!$B62&amp;"_"&amp;screen!$C63&amp;" = "&amp;ROUND(screen!G63,0)&amp;","</f>
        <v>cube_next_y = 809,</v>
      </c>
      <c r="D44" s="6" t="str">
        <f>IF(screen!$H$2&lt;16/9,screen!$B62&amp;"_"&amp;screen!$C63&amp;" = "&amp;ROUND(screen!H63,0)&amp;",","")</f>
        <v>cube_next_y = 48727,</v>
      </c>
      <c r="E44" s="6" t="str">
        <f>IF(screen!$H$2&lt;16/9,screen!$B62&amp;"_"&amp;screen!$C63&amp;" = "&amp;ROUND(screen!I63,0)&amp;",","")</f>
        <v>cube_next_y = 781,</v>
      </c>
    </row>
    <row r="45" spans="1:5">
      <c r="A45" s="7" t="str">
        <f>screen!$B64&amp;"_"&amp;screen!$C64&amp;" = "&amp;ROUND(screen!E64,0)&amp;","</f>
        <v>cube_grid_1_x = 7078,</v>
      </c>
      <c r="B45" s="7" t="str">
        <f>screen!$B64&amp;"_"&amp;screen!$C64&amp;" = "&amp;ROUND(screen!F64,0)&amp;","</f>
        <v>cube_grid_1_x = 7864,</v>
      </c>
      <c r="C45" s="7" t="str">
        <f>screen!$B64&amp;"_"&amp;screen!$C64&amp;" = "&amp;ROUND(screen!G64,0)&amp;","</f>
        <v>cube_grid_1_x = 202,</v>
      </c>
      <c r="D45" s="7" t="str">
        <f>IF(screen!$H$2&lt;16/9,screen!$B64&amp;"_"&amp;screen!$C64&amp;" = "&amp;ROUND(screen!H64,0)&amp;",","")</f>
        <v>cube_grid_1_x = 7078,</v>
      </c>
      <c r="E45" s="7" t="str">
        <f>IF(screen!$H$2&lt;16/9,screen!$B64&amp;"_"&amp;screen!$C64&amp;" = "&amp;ROUND(screen!I64,0)&amp;",","")</f>
        <v>cube_grid_1_x = 181,</v>
      </c>
    </row>
    <row r="46" spans="1:5">
      <c r="A46" s="6" t="str">
        <f>screen!$B64&amp;"_"&amp;screen!$C65&amp;" = "&amp;ROUND(screen!E65,0)&amp;","</f>
        <v>cube_grid_1_y = 24576,</v>
      </c>
      <c r="B46" s="6" t="str">
        <f>screen!$B64&amp;"_"&amp;screen!$C65&amp;" = "&amp;ROUND(screen!F65,0)&amp;","</f>
        <v>cube_grid_1_y = 24576,</v>
      </c>
      <c r="C46" s="6" t="str">
        <f>screen!$B64&amp;"_"&amp;screen!$C65&amp;" = "&amp;ROUND(screen!G65,0)&amp;","</f>
        <v>cube_grid_1_y = 394,</v>
      </c>
      <c r="D46" s="6" t="str">
        <f>IF(screen!$H$2&lt;16/9,screen!$B64&amp;"_"&amp;screen!$C65&amp;" = "&amp;ROUND(screen!H65,0)&amp;",","")</f>
        <v>cube_grid_1_y = 25395,</v>
      </c>
      <c r="E46" s="6" t="str">
        <f>IF(screen!$H$2&lt;16/9,screen!$B64&amp;"_"&amp;screen!$C65&amp;" = "&amp;ROUND(screen!I65,0)&amp;",","")</f>
        <v>cube_grid_1_y = 407,</v>
      </c>
    </row>
    <row r="47" spans="1:5">
      <c r="A47" s="7" t="str">
        <f>screen!$B66&amp;"_"&amp;screen!$C66&amp;" = "&amp;ROUND(screen!E66,0)&amp;","</f>
        <v>mate_2_icon_x = 2151,</v>
      </c>
      <c r="B47" s="7" t="str">
        <f>screen!$B66&amp;"_"&amp;screen!$C66&amp;" = "&amp;ROUND(screen!F66,0)&amp;","</f>
        <v>mate_2_icon_x = 2390,</v>
      </c>
      <c r="C47" s="7" t="str">
        <f>screen!$B66&amp;"_"&amp;screen!$C66&amp;" = "&amp;ROUND(screen!G66,0)&amp;","</f>
        <v>mate_2_icon_x = 61,</v>
      </c>
      <c r="D47" s="7" t="str">
        <f>IF(screen!$H$2&lt;16/9,screen!$B66&amp;"_"&amp;screen!$C66&amp;" = "&amp;ROUND(screen!H66,0)&amp;",","")</f>
        <v>mate_2_icon_x = 2151,</v>
      </c>
      <c r="E47" s="7" t="str">
        <f>IF(screen!$H$2&lt;16/9,screen!$B66&amp;"_"&amp;screen!$C66&amp;" = "&amp;ROUND(screen!I66,0)&amp;",","")</f>
        <v>mate_2_icon_x = 55,</v>
      </c>
    </row>
    <row r="48" spans="1:5">
      <c r="A48" s="6" t="str">
        <f>screen!$B66&amp;"_"&amp;screen!$C67&amp;" = "&amp;ROUND(screen!E67,0)&amp;","</f>
        <v>mate_2_icon_y = 15063,</v>
      </c>
      <c r="B48" s="6" t="str">
        <f>screen!$B66&amp;"_"&amp;screen!$C67&amp;" = "&amp;ROUND(screen!F67,0)&amp;","</f>
        <v>mate_2_icon_y = 15063,</v>
      </c>
      <c r="C48" s="6" t="str">
        <f>screen!$B66&amp;"_"&amp;screen!$C67&amp;" = "&amp;ROUND(screen!G67,0)&amp;","</f>
        <v>mate_2_icon_y = 241,</v>
      </c>
      <c r="D48" s="6" t="str">
        <f>IF(screen!$H$2&lt;16/9,screen!$B66&amp;"_"&amp;screen!$C67&amp;" = "&amp;ROUND(screen!H67,0)&amp;",","")</f>
        <v>mate_2_icon_y = 16833,</v>
      </c>
      <c r="E48" s="6" t="str">
        <f>IF(screen!$H$2&lt;16/9,screen!$B66&amp;"_"&amp;screen!$C67&amp;" = "&amp;ROUND(screen!I67,0)&amp;",","")</f>
        <v>mate_2_icon_y = 270,</v>
      </c>
    </row>
    <row r="49" spans="1:5">
      <c r="A49" s="7" t="str">
        <f>screen!$B68&amp;"_"&amp;screen!$C68&amp;" = "&amp;ROUND(screen!E68,0)&amp;","</f>
        <v>mate_2_tp_x = 4781,</v>
      </c>
      <c r="B49" s="7" t="str">
        <f>screen!$B68&amp;"_"&amp;screen!$C68&amp;" = "&amp;ROUND(screen!F68,0)&amp;","</f>
        <v>mate_2_tp_x = 5312,</v>
      </c>
      <c r="C49" s="7" t="str">
        <f>screen!$B68&amp;"_"&amp;screen!$C68&amp;" = "&amp;ROUND(screen!G68,0)&amp;","</f>
        <v>mate_2_tp_x = 136,</v>
      </c>
      <c r="D49" s="7" t="str">
        <f>IF(screen!$H$2&lt;16/9,screen!$B68&amp;"_"&amp;screen!$C68&amp;" = "&amp;ROUND(screen!H68,0)&amp;",","")</f>
        <v>mate_2_tp_x = 4781,</v>
      </c>
      <c r="E49" s="7" t="str">
        <f>IF(screen!$H$2&lt;16/9,screen!$B68&amp;"_"&amp;screen!$C68&amp;" = "&amp;ROUND(screen!I68,0)&amp;",","")</f>
        <v>mate_2_tp_x = 123,</v>
      </c>
    </row>
    <row r="50" spans="1:5">
      <c r="A50" s="6" t="str">
        <f>screen!$B68&amp;"_"&amp;screen!$C69&amp;" = "&amp;ROUND(screen!E69,0)&amp;","</f>
        <v>mate_2_tp_y = 23566,</v>
      </c>
      <c r="B50" s="6" t="str">
        <f>screen!$B68&amp;"_"&amp;screen!$C69&amp;" = "&amp;ROUND(screen!F69,0)&amp;","</f>
        <v>mate_2_tp_y = 23566,</v>
      </c>
      <c r="C50" s="6" t="str">
        <f>screen!$B68&amp;"_"&amp;screen!$C69&amp;" = "&amp;ROUND(screen!G69,0)&amp;","</f>
        <v>mate_2_tp_y = 378,</v>
      </c>
      <c r="D50" s="6" t="str">
        <f>IF(screen!$H$2&lt;16/9,screen!$B68&amp;"_"&amp;screen!$C69&amp;" = "&amp;ROUND(screen!H69,0)&amp;",","")</f>
        <v>mate_2_tp_y = 24486,</v>
      </c>
      <c r="E50" s="6" t="str">
        <f>IF(screen!$H$2&lt;16/9,screen!$B68&amp;"_"&amp;screen!$C69&amp;" = "&amp;ROUND(screen!I69,0)&amp;",","")</f>
        <v>mate_2_tp_y = 392,</v>
      </c>
    </row>
    <row r="51" spans="1:5">
      <c r="A51" s="7" t="str">
        <f>screen!$B70&amp;"_"&amp;screen!$C70&amp;" = "&amp;ROUND(screen!E70,0)&amp;","</f>
        <v>flwer_icon_x = 5243,</v>
      </c>
      <c r="B51" s="7" t="str">
        <f>screen!$B70&amp;"_"&amp;screen!$C70&amp;" = "&amp;ROUND(screen!F70,0)&amp;","</f>
        <v>flwer_icon_x = 5826,</v>
      </c>
      <c r="C51" s="7" t="str">
        <f>screen!$B70&amp;"_"&amp;screen!$C70&amp;" = "&amp;ROUND(screen!G70,0)&amp;","</f>
        <v>flwer_icon_x = 149,</v>
      </c>
      <c r="D51" s="7" t="str">
        <f>IF(screen!$H$2&lt;16/9,screen!$B70&amp;"_"&amp;screen!$C70&amp;" = "&amp;ROUND(screen!H70,0)&amp;",","")</f>
        <v>flwer_icon_x = 5243,</v>
      </c>
      <c r="E51" s="7" t="str">
        <f>IF(screen!$H$2&lt;16/9,screen!$B70&amp;"_"&amp;screen!$C70&amp;" = "&amp;ROUND(screen!I70,0)&amp;",","")</f>
        <v>flwer_icon_x = 134,</v>
      </c>
    </row>
    <row r="52" spans="1:5">
      <c r="A52" s="6" t="str">
        <f>screen!$B70&amp;"_"&amp;screen!$C71&amp;" = "&amp;ROUND(screen!E71,0)&amp;","</f>
        <v>flwer_icon_y = 2752,</v>
      </c>
      <c r="B52" s="6" t="str">
        <f>screen!$B70&amp;"_"&amp;screen!$C71&amp;" = "&amp;ROUND(screen!F71,0)&amp;","</f>
        <v>flwer_icon_y = 2752,</v>
      </c>
      <c r="C52" s="6" t="str">
        <f>screen!$B70&amp;"_"&amp;screen!$C71&amp;" = "&amp;ROUND(screen!G71,0)&amp;","</f>
        <v>flwer_icon_y = 44,</v>
      </c>
      <c r="D52" s="6" t="str">
        <f>IF(screen!$H$2&lt;16/9,screen!$B70&amp;"_"&amp;screen!$C71&amp;" = "&amp;ROUND(screen!H71,0)&amp;",","")</f>
        <v>flwer_icon_y = 5754,</v>
      </c>
      <c r="E52" s="6" t="str">
        <f>IF(screen!$H$2&lt;16/9,screen!$B70&amp;"_"&amp;screen!$C71&amp;" = "&amp;ROUND(screen!I71,0)&amp;",","")</f>
        <v>flwer_icon_y = 92,</v>
      </c>
    </row>
    <row r="53" spans="1:5">
      <c r="A53" s="7" t="str">
        <f>screen!$B72&amp;"_"&amp;screen!$C72&amp;" = "&amp;ROUND(screen!E72,0)&amp;","</f>
        <v>flwer_dismiss_x = 9503,</v>
      </c>
      <c r="B53" s="7" t="str">
        <f>screen!$B72&amp;"_"&amp;screen!$C72&amp;" = "&amp;ROUND(screen!F72,0)&amp;","</f>
        <v>flwer_dismiss_x = 10559,</v>
      </c>
      <c r="C53" s="7" t="str">
        <f>screen!$B72&amp;"_"&amp;screen!$C72&amp;" = "&amp;ROUND(screen!G72,0)&amp;","</f>
        <v>flwer_dismiss_x = 271,</v>
      </c>
      <c r="D53" s="7" t="str">
        <f>IF(screen!$H$2&lt;16/9,screen!$B72&amp;"_"&amp;screen!$C72&amp;" = "&amp;ROUND(screen!H72,0)&amp;",","")</f>
        <v>flwer_dismiss_x = 9503,</v>
      </c>
      <c r="E53" s="7" t="str">
        <f>IF(screen!$H$2&lt;16/9,screen!$B72&amp;"_"&amp;screen!$C72&amp;" = "&amp;ROUND(screen!I72,0)&amp;",","")</f>
        <v>flwer_dismiss_x = 244,</v>
      </c>
    </row>
    <row r="54" spans="1:5">
      <c r="A54" s="6" t="str">
        <f>screen!$B72&amp;"_"&amp;screen!$C73&amp;" = "&amp;ROUND(screen!E73,0)&amp;","</f>
        <v>flwer_dismiss_y = 9699,</v>
      </c>
      <c r="B54" s="6" t="str">
        <f>screen!$B72&amp;"_"&amp;screen!$C73&amp;" = "&amp;ROUND(screen!F73,0)&amp;","</f>
        <v>flwer_dismiss_y = 9699,</v>
      </c>
      <c r="C54" s="6" t="str">
        <f>screen!$B72&amp;"_"&amp;screen!$C73&amp;" = "&amp;ROUND(screen!G73,0)&amp;","</f>
        <v>flwer_dismiss_y = 155,</v>
      </c>
      <c r="D54" s="6" t="str">
        <f>IF(screen!$H$2&lt;16/9,screen!$B72&amp;"_"&amp;screen!$C73&amp;" = "&amp;ROUND(screen!H73,0)&amp;",","")</f>
        <v>flwer_dismiss_y = 12006,</v>
      </c>
      <c r="E54" s="6" t="str">
        <f>IF(screen!$H$2&lt;16/9,screen!$B72&amp;"_"&amp;screen!$C73&amp;" = "&amp;ROUND(screen!I73,0)&amp;",","")</f>
        <v>flwer_dismiss_y = 192,</v>
      </c>
    </row>
    <row r="55" spans="1:5">
      <c r="A55" s="11" t="s">
        <v>72</v>
      </c>
      <c r="B55" s="11" t="s">
        <v>72</v>
      </c>
      <c r="C55" s="11" t="s">
        <v>72</v>
      </c>
      <c r="D55" s="11" t="str">
        <f>IF(screen!$H$2&lt;16/9,"}","")</f>
        <v>}</v>
      </c>
      <c r="E55" s="11" t="str">
        <f>IF(screen!$H$2&lt;16/9,"}","")</f>
        <v>}</v>
      </c>
    </row>
  </sheetData>
  <mergeCells count="1">
    <mergeCell ref="A1:E1"/>
  </mergeCells>
  <phoneticPr fontId="1" type="noConversion"/>
  <pageMargins left="0.7" right="0.7" top="0.75" bottom="0.75" header="0.3" footer="0.3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9679-DDEC-9344-B139-9D27BA6E6854}">
  <dimension ref="A1:E32"/>
  <sheetViews>
    <sheetView tabSelected="1" workbookViewId="0">
      <selection activeCell="B38" sqref="B38"/>
    </sheetView>
  </sheetViews>
  <sheetFormatPr baseColWidth="10" defaultRowHeight="15"/>
  <cols>
    <col min="1" max="2" width="46.1640625" style="1" bestFit="1" customWidth="1"/>
    <col min="3" max="3" width="47.83203125" style="1" bestFit="1" customWidth="1"/>
    <col min="4" max="4" width="46.1640625" style="1" bestFit="1" customWidth="1"/>
    <col min="5" max="5" width="47.83203125" style="1" bestFit="1" customWidth="1"/>
  </cols>
  <sheetData>
    <row r="1" spans="1:5" ht="26">
      <c r="A1" s="117" t="str">
        <f>screen!F1</f>
        <v>1680/1050</v>
      </c>
      <c r="B1" s="117"/>
      <c r="C1" s="117"/>
      <c r="D1" s="117"/>
      <c r="E1" s="117"/>
    </row>
    <row r="2" spans="1:5" ht="16">
      <c r="A2" s="2" t="s">
        <v>12</v>
      </c>
      <c r="B2" s="5" t="s">
        <v>3</v>
      </c>
      <c r="C2" s="2" t="s">
        <v>4</v>
      </c>
      <c r="D2" s="5" t="s">
        <v>40</v>
      </c>
      <c r="E2" s="3" t="s">
        <v>41</v>
      </c>
    </row>
    <row r="3" spans="1:5">
      <c r="A3" s="8" t="s">
        <v>71</v>
      </c>
      <c r="B3" s="8" t="str">
        <f>"[0] = { -- "&amp;$A$1</f>
        <v>[0] = { -- 1680/1050</v>
      </c>
      <c r="C3" s="8" t="str">
        <f>"["&amp;screen!$H$4&amp;"] = { "</f>
        <v xml:space="preserve">[1050] = { </v>
      </c>
      <c r="D3" s="8" t="str">
        <f>IF(screen!$H$2&lt;16/9,"[0] = { -- "&amp;$A$1&amp;" 黑邊","")</f>
        <v>[0] = { -- 1680/1050 黑邊</v>
      </c>
      <c r="E3" s="8" t="str">
        <f>IF(screen!$H$2&lt;16/9,"["&amp;screen!$H$4&amp;"] = { -- 黑邊","")</f>
        <v>[1050] = { -- 黑邊</v>
      </c>
    </row>
    <row r="4" spans="1:5">
      <c r="A4" s="13" t="s">
        <v>80</v>
      </c>
      <c r="B4" s="13" t="s">
        <v>80</v>
      </c>
      <c r="C4" s="13" t="s">
        <v>80</v>
      </c>
      <c r="D4" s="13" t="str">
        <f>IF(screen!$H$2&lt;16/9,"--center","")</f>
        <v>--center</v>
      </c>
      <c r="E4" s="13" t="str">
        <f>IF(screen!$H$2&lt;16/9,"--center","")</f>
        <v>--center</v>
      </c>
    </row>
    <row r="5" spans="1:5">
      <c r="A5" s="12" t="str">
        <f>screen!$B10&amp;" = {"&amp;ROUND(screen!E10,0)&amp;", "&amp;ROUND(screen!E11,0)&amp;"},"</f>
        <v>mid = {32768, 32768},</v>
      </c>
      <c r="B5" s="12" t="str">
        <f>screen!$B10&amp;" = {"&amp;ROUND(screen!F10,0)&amp;", "&amp;ROUND(screen!F11,0)&amp;"},"</f>
        <v>mid = {32768, 32768},</v>
      </c>
      <c r="C5" s="12" t="str">
        <f>screen!$B10&amp;" = {"&amp;ROUND(screen!G10,0)&amp;", "&amp;ROUND(screen!G11,0)&amp;"},"</f>
        <v>mid = {840, 525},</v>
      </c>
      <c r="D5" s="12" t="str">
        <f>IF(screen!$H$2&lt;16/9,screen!$B10&amp;" = {"&amp;ROUND(screen!H10,0)&amp;", "&amp;ROUND(screen!H11,0)&amp;"},","")</f>
        <v>mid = {32768, 32768},</v>
      </c>
      <c r="E5" s="12" t="str">
        <f>IF(screen!$H$2&lt;16/9,screen!$B10&amp;" = {"&amp;ROUND(screen!I10,0)&amp;", "&amp;ROUND(screen!I11,0)&amp;"},","")</f>
        <v>mid = {840, 525},</v>
      </c>
    </row>
    <row r="6" spans="1:5">
      <c r="A6" s="12" t="str">
        <f>screen!$B12&amp;" = {{"&amp;ROUND(screen!E12,0)&amp;", "&amp;ROUND(screen!E14,0)&amp;", "&amp;ROUND(screen!E16,0)&amp;", "&amp;ROUND(screen!E18,0)&amp;"}, "&amp;ROUND(screen!E13,0)&amp;"},"</f>
        <v>p_tab = {{20832, 28618, 36575, 44601}, 6800},</v>
      </c>
      <c r="B6" s="12" t="str">
        <f>screen!$B12&amp;" = {{"&amp;ROUND(screen!F12,0)&amp;", "&amp;ROUND(screen!F14,0)&amp;", "&amp;ROUND(screen!F16,0)&amp;", "&amp;ROUND(screen!F18,0)&amp;"}, "&amp;ROUND(screen!F13,0)&amp;"},"</f>
        <v>p_tab = {{19506, 28157, 36998, 45916}, 6800},</v>
      </c>
      <c r="C6" s="12" t="str">
        <f>screen!$B12&amp;" = {{"&amp;ROUND(screen!G12,0)&amp;", "&amp;ROUND(screen!G14,0)&amp;", "&amp;ROUND(screen!G16,0)&amp;", "&amp;ROUND(screen!G18,0)&amp;"}, "&amp;ROUND(screen!G13,0)&amp;"},"</f>
        <v>p_tab = {{500, 722, 948, 1177}, 109},</v>
      </c>
      <c r="D6" s="12" t="str">
        <f>IF(screen!$H$2&lt;16/9,screen!$B12&amp;" = {{"&amp;ROUND(screen!H12,0)&amp;", "&amp;ROUND(screen!H14,0)&amp;", "&amp;ROUND(screen!H16,0)&amp;", "&amp;ROUND(screen!H18,0)&amp;"}, "&amp;ROUND(screen!H13,0)&amp;"},","")</f>
        <v>p_tab = {{20832, 28618, 36575, 44601}, 9397},</v>
      </c>
      <c r="E6" s="12" t="str">
        <f>IF(screen!$H$2&lt;16/9,screen!$B12&amp;" = {{"&amp;ROUND(screen!I12,0)&amp;", "&amp;ROUND(screen!I14,0)&amp;", "&amp;ROUND(screen!I16,0)&amp;", "&amp;ROUND(screen!I18,0)&amp;"}, "&amp;ROUND(screen!I13,0)&amp;"},","")</f>
        <v>p_tab = {{534, 734, 938, 1143}, 151},</v>
      </c>
    </row>
    <row r="7" spans="1:5">
      <c r="A7" s="12" t="str">
        <f>screen!$B20&amp;" = {"&amp;ROUND(screen!E20,0)&amp;", {"&amp;ROUND(screen!E21,0)&amp;", "&amp;ROUND(screen!E23,0)&amp;", "&amp;ROUND(screen!E25,0)&amp;", "&amp;ROUND(screen!E27,0)&amp;"}},"</f>
        <v>p_add = {43500, {37171, 31522, 26056, 20347}},</v>
      </c>
      <c r="B7" s="12" t="str">
        <f>screen!$B20&amp;" = {"&amp;ROUND(screen!F20,0)&amp;", {"&amp;ROUND(screen!F21,0)&amp;", "&amp;ROUND(screen!F23,0)&amp;", "&amp;ROUND(screen!F25,0)&amp;", "&amp;ROUND(screen!F27,0)&amp;"}},"</f>
        <v>p_add = {44693, {37171, 31522, 26056, 20347}},</v>
      </c>
      <c r="C7" s="12" t="str">
        <f>screen!$B20&amp;" = {"&amp;ROUND(screen!G20,0)&amp;", {"&amp;ROUND(screen!G21,0)&amp;", "&amp;ROUND(screen!G23,0)&amp;", "&amp;ROUND(screen!G25,0)&amp;", "&amp;ROUND(screen!G27,0)&amp;"}},"</f>
        <v>p_add = {1146, {596, 505, 417, 326}},</v>
      </c>
      <c r="D7" s="12" t="str">
        <f>IF(screen!$H$2&lt;16/9,screen!$B20&amp;" = {"&amp;ROUND(screen!H20,0)&amp;", {"&amp;ROUND(screen!H21,0)&amp;", "&amp;ROUND(screen!H23,0)&amp;", "&amp;ROUND(screen!H25,0)&amp;", "&amp;ROUND(screen!H27,0)&amp;"}},","")</f>
        <v>p_add = {43500, {36731, 31647, 26727, 21589}},</v>
      </c>
      <c r="E7" s="12" t="str">
        <f>IF(screen!$H$2&lt;16/9,screen!$B20&amp;" = {"&amp;ROUND(screen!I20,0)&amp;", {"&amp;ROUND(screen!I21,0)&amp;", "&amp;ROUND(screen!I23,0)&amp;", "&amp;ROUND(screen!I25,0)&amp;", "&amp;ROUND(screen!I27,0)&amp;"}},","")</f>
        <v>p_add = {1115, {588, 507, 428, 346}},</v>
      </c>
    </row>
    <row r="8" spans="1:5">
      <c r="A8" s="12" t="str">
        <f>screen!$B28&amp;" = {"&amp;ROUND(screen!E28,0)&amp;", "&amp;ROUND(screen!E29,0)&amp;"},"</f>
        <v>p_reset = {32819, 44520},</v>
      </c>
      <c r="B8" s="12" t="str">
        <f>screen!$B28&amp;" = {"&amp;ROUND(screen!F28,0)&amp;", "&amp;ROUND(screen!F29,0)&amp;"},"</f>
        <v>p_reset = {32825, 44520},</v>
      </c>
      <c r="C8" s="12" t="str">
        <f>screen!$B28&amp;" = {"&amp;ROUND(screen!G28,0)&amp;", "&amp;ROUND(screen!G29,0)&amp;"},"</f>
        <v>p_reset = {841, 713},</v>
      </c>
      <c r="D8" s="12" t="str">
        <f>IF(screen!$H$2&lt;16/9,screen!$B28&amp;" = {"&amp;ROUND(screen!H28,0)&amp;", "&amp;ROUND(screen!H29,0)&amp;"},","")</f>
        <v>p_reset = {32819, 43345},</v>
      </c>
      <c r="E8" s="12" t="str">
        <f>IF(screen!$H$2&lt;16/9,screen!$B28&amp;" = {"&amp;ROUND(screen!I28,0)&amp;", "&amp;ROUND(screen!I29,0)&amp;"},","")</f>
        <v>p_reset = {841, 694},</v>
      </c>
    </row>
    <row r="9" spans="1:5">
      <c r="A9" s="12" t="str">
        <f>screen!$B30&amp;" = {"&amp;ROUND(screen!E30,0)&amp;", "&amp;ROUND(screen!E31,0)&amp;"},"</f>
        <v>p_accept = {28311, 49500},</v>
      </c>
      <c r="B9" s="12" t="str">
        <f>screen!$B30&amp;" = {"&amp;ROUND(screen!F30,0)&amp;", "&amp;ROUND(screen!F31,0)&amp;"},"</f>
        <v>p_accept = {27816, 49500},</v>
      </c>
      <c r="C9" s="12" t="str">
        <f>screen!$B30&amp;" = {"&amp;ROUND(screen!G30,0)&amp;", "&amp;ROUND(screen!G31,0)&amp;"},"</f>
        <v>p_accept = {713, 793},</v>
      </c>
      <c r="D9" s="12" t="str">
        <f>IF(screen!$H$2&lt;16/9,screen!$B30&amp;" = {"&amp;ROUND(screen!H30,0)&amp;", "&amp;ROUND(screen!H31,0)&amp;"},","")</f>
        <v>p_accept = {28311, 47827},</v>
      </c>
      <c r="E9" s="12" t="str">
        <f>IF(screen!$H$2&lt;16/9,screen!$B30&amp;" = {"&amp;ROUND(screen!I30,0)&amp;", "&amp;ROUND(screen!I31,0)&amp;"},","")</f>
        <v>p_accept = {726, 766},</v>
      </c>
    </row>
    <row r="10" spans="1:5">
      <c r="A10" s="12" t="str">
        <f>screen!$B32&amp;" = {"&amp;ROUND(screen!E32,0)&amp;", "&amp;ROUND(screen!E33,0)&amp;"},"</f>
        <v>a1_icon = {25135, 37475},</v>
      </c>
      <c r="B10" s="12" t="str">
        <f>screen!$B32&amp;" = {"&amp;ROUND(screen!F32,0)&amp;", "&amp;ROUND(screen!F33,0)&amp;"},"</f>
        <v>a1_icon = {24287, 37475},</v>
      </c>
      <c r="C10" s="12" t="str">
        <f>screen!$B32&amp;" = {"&amp;ROUND(screen!G32,0)&amp;", "&amp;ROUND(screen!G33,0)&amp;"},"</f>
        <v>a1_icon = {623, 600},</v>
      </c>
      <c r="D10" s="12" t="str">
        <f>IF(screen!$H$2&lt;16/9,screen!$B32&amp;" = {"&amp;ROUND(screen!H32,0)&amp;", "&amp;ROUND(screen!H33,0)&amp;"},","")</f>
        <v>a1_icon = {25135, 37004},</v>
      </c>
      <c r="E10" s="12" t="str">
        <f>IF(screen!$H$2&lt;16/9,screen!$B32&amp;" = {"&amp;ROUND(screen!I32,0)&amp;", "&amp;ROUND(screen!I33,0)&amp;"},","")</f>
        <v>a1_icon = {644, 593},</v>
      </c>
    </row>
    <row r="11" spans="1:5">
      <c r="A11" s="12" t="str">
        <f>screen!$B34&amp;" = {"&amp;ROUND(screen!E34,0)&amp;", "&amp;ROUND(screen!E35,0)&amp;"},"</f>
        <v>a1_town = {34697, 29336},</v>
      </c>
      <c r="B11" s="12" t="str">
        <f>screen!$B34&amp;" = {"&amp;ROUND(screen!F34,0)&amp;", "&amp;ROUND(screen!F35,0)&amp;"},"</f>
        <v>a1_town = {34911, 29336},</v>
      </c>
      <c r="C11" s="12" t="str">
        <f>screen!$B34&amp;" = {"&amp;ROUND(screen!G34,0)&amp;", "&amp;ROUND(screen!G35,0)&amp;"},"</f>
        <v>a1_town = {895, 470},</v>
      </c>
      <c r="D11" s="12" t="str">
        <f>IF(screen!$H$2&lt;16/9,screen!$B34&amp;" = {"&amp;ROUND(screen!H34,0)&amp;", "&amp;ROUND(screen!H35,0)&amp;"},","")</f>
        <v>a1_town = {34697, 29679},</v>
      </c>
      <c r="E11" s="12" t="str">
        <f>IF(screen!$H$2&lt;16/9,screen!$B34&amp;" = {"&amp;ROUND(screen!I34,0)&amp;", "&amp;ROUND(screen!I35,0)&amp;"},","")</f>
        <v>a1_town = {889, 476},</v>
      </c>
    </row>
    <row r="12" spans="1:5">
      <c r="A12" s="12" t="str">
        <f>screen!$B36&amp;" = {"&amp;ROUND(screen!E36,0)&amp;", "&amp;ROUND(screen!E37,0)&amp;"},"</f>
        <v>a2_icon = {37088, 31462},</v>
      </c>
      <c r="B12" s="12" t="str">
        <f>screen!$B36&amp;" = {"&amp;ROUND(screen!F36,0)&amp;", "&amp;ROUND(screen!F37,0)&amp;"},"</f>
        <v>a2_icon = {37568, 31462},</v>
      </c>
      <c r="C12" s="12" t="str">
        <f>screen!$B36&amp;" = {"&amp;ROUND(screen!G36,0)&amp;", "&amp;ROUND(screen!G37,0)&amp;"},"</f>
        <v>a2_icon = {963, 504},</v>
      </c>
      <c r="D12" s="12" t="str">
        <f>IF(screen!$H$2&lt;16/9,screen!$B36&amp;" = {"&amp;ROUND(screen!H36,0)&amp;", "&amp;ROUND(screen!H37,0)&amp;"},","")</f>
        <v>a2_icon = {37088, 31593},</v>
      </c>
      <c r="E12" s="12" t="str">
        <f>IF(screen!$H$2&lt;16/9,screen!$B36&amp;" = {"&amp;ROUND(screen!I36,0)&amp;", "&amp;ROUND(screen!I37,0)&amp;"},","")</f>
        <v>a2_icon = {951, 506},</v>
      </c>
    </row>
    <row r="13" spans="1:5">
      <c r="A13" s="12" t="str">
        <f>screen!$B38&amp;" = {"&amp;ROUND(screen!E38,0)&amp;", "&amp;ROUND(screen!E39,0)&amp;"},"</f>
        <v>a2_town = {35380, 47618},</v>
      </c>
      <c r="B13" s="12" t="str">
        <f>screen!$B38&amp;" = {"&amp;ROUND(screen!F38,0)&amp;", "&amp;ROUND(screen!F39,0)&amp;"},"</f>
        <v>a2_town = {35670, 47618},</v>
      </c>
      <c r="C13" s="12" t="str">
        <f>screen!$B38&amp;" = {"&amp;ROUND(screen!G38,0)&amp;", "&amp;ROUND(screen!G39,0)&amp;"},"</f>
        <v>a2_town = {914, 763},</v>
      </c>
      <c r="D13" s="12" t="str">
        <f>IF(screen!$H$2&lt;16/9,screen!$B38&amp;" = {"&amp;ROUND(screen!H38,0)&amp;", "&amp;ROUND(screen!H39,0)&amp;"},","")</f>
        <v>a2_town = {35380, 46133},</v>
      </c>
      <c r="E13" s="12" t="str">
        <f>IF(screen!$H$2&lt;16/9,screen!$B38&amp;" = {"&amp;ROUND(screen!I38,0)&amp;", "&amp;ROUND(screen!I39,0)&amp;"},","")</f>
        <v>a2_town = {907, 739},</v>
      </c>
    </row>
    <row r="14" spans="1:5">
      <c r="A14" s="12" t="str">
        <f>screen!$B40&amp;" = {"&amp;ROUND(screen!E40,0)&amp;", "&amp;ROUND(screen!E41,0)&amp;"},"</f>
        <v>leave_team = {29004, 39867},</v>
      </c>
      <c r="B14" s="12" t="str">
        <f>screen!$B40&amp;" = {"&amp;ROUND(screen!F40,0)&amp;", "&amp;ROUND(screen!F41,0)&amp;"},"</f>
        <v>leave_team = {28586, 39867},</v>
      </c>
      <c r="C14" s="12" t="str">
        <f>screen!$B40&amp;" = {"&amp;ROUND(screen!G40,0)&amp;", "&amp;ROUND(screen!G41,0)&amp;"},"</f>
        <v>leave_team = {733, 639},</v>
      </c>
      <c r="D14" s="12" t="str">
        <f>IF(screen!$H$2&lt;16/9,screen!$B40&amp;" = {"&amp;ROUND(screen!H40,0)&amp;", "&amp;ROUND(screen!H41,0)&amp;"},","")</f>
        <v>leave_team = {29004, 39157},</v>
      </c>
      <c r="E14" s="12" t="str">
        <f>IF(screen!$H$2&lt;16/9,screen!$B40&amp;" = {"&amp;ROUND(screen!I40,0)&amp;", "&amp;ROUND(screen!I41,0)&amp;"},","")</f>
        <v>leave_team = {744, 627},</v>
      </c>
    </row>
    <row r="15" spans="1:5">
      <c r="A15" s="12" t="str">
        <f>screen!$B42&amp;" = {"&amp;ROUND(screen!E42,0)&amp;", "&amp;ROUND(screen!E43,0)&amp;"},"</f>
        <v>role_ori = {32768, 30700},</v>
      </c>
      <c r="B15" s="12" t="str">
        <f>screen!$B42&amp;" = {"&amp;ROUND(screen!F42,0)&amp;", "&amp;ROUND(screen!F43,0)&amp;"},"</f>
        <v>role_ori = {32768, 30700},</v>
      </c>
      <c r="C15" s="12" t="str">
        <f>screen!$B42&amp;" = {"&amp;ROUND(screen!G42,0)&amp;", "&amp;ROUND(screen!G43,0)&amp;"},"</f>
        <v>role_ori = {840, 492},</v>
      </c>
      <c r="D15" s="12" t="str">
        <f>IF(screen!$H$2&lt;16/9,screen!$B42&amp;" = {"&amp;ROUND(screen!H42,0)&amp;", "&amp;ROUND(screen!H43,0)&amp;"},","")</f>
        <v>role_ori = {32768, 30907},</v>
      </c>
      <c r="E15" s="12" t="str">
        <f>IF(screen!$H$2&lt;16/9,screen!$B42&amp;" = {"&amp;ROUND(screen!I42,0)&amp;", "&amp;ROUND(screen!I43,0)&amp;"},","")</f>
        <v>role_ori = {840, 495},</v>
      </c>
    </row>
    <row r="16" spans="1:5">
      <c r="A16" s="13" t="s">
        <v>69</v>
      </c>
      <c r="B16" s="13" t="s">
        <v>69</v>
      </c>
      <c r="C16" s="13" t="s">
        <v>69</v>
      </c>
      <c r="D16" s="10" t="str">
        <f>IF(screen!$H$2&lt;16/9,"-- right","")</f>
        <v>-- right</v>
      </c>
      <c r="E16" s="10" t="str">
        <f>IF(screen!$H$2&lt;16/9,"-- right","")</f>
        <v>-- right</v>
      </c>
    </row>
    <row r="17" spans="1:5">
      <c r="A17" s="12" t="str">
        <f>screen!$B45&amp;" = {"&amp;ROUND(screen!E45,0)&amp;", "&amp;ROUND(screen!E46,0)&amp;"},"</f>
        <v>grid_start = {48747, 35470},</v>
      </c>
      <c r="B17" s="12" t="str">
        <f>screen!$B45&amp;" = {"&amp;ROUND(screen!F45,0)&amp;", "&amp;ROUND(screen!F46,0)&amp;"},"</f>
        <v>grid_start = {46882, 35470},</v>
      </c>
      <c r="C17" s="12" t="str">
        <f>screen!$B45&amp;" = {"&amp;ROUND(screen!G45,0)&amp;", "&amp;ROUND(screen!G46,0)&amp;"},"</f>
        <v>grid_start = {1202, 568},</v>
      </c>
      <c r="D17" s="12" t="str">
        <f>IF(screen!$H$2&lt;16/9,screen!$B45&amp;" = {"&amp;ROUND(screen!H45,0)&amp;", "&amp;ROUND(screen!H46,0)&amp;"},","")</f>
        <v>grid_start = {48747, 35200},</v>
      </c>
      <c r="E17" s="12" t="str">
        <f>IF(screen!$H$2&lt;16/9,screen!$B45&amp;" = {"&amp;ROUND(screen!I45,0)&amp;", "&amp;ROUND(screen!I46,0)&amp;"},","")</f>
        <v>grid_start = {1250, 564},</v>
      </c>
    </row>
    <row r="18" spans="1:5">
      <c r="A18" s="12" t="str">
        <f>screen!$B47&amp;" = {"&amp;ROUND(screen!E47,0)&amp;", "&amp;ROUND(screen!E48,0)&amp;"},"</f>
        <v>grid_end = {64272, 50608},</v>
      </c>
      <c r="B18" s="12" t="str">
        <f>screen!$B47&amp;" = {"&amp;ROUND(screen!F47,0)&amp;", "&amp;ROUND(screen!F48,0)&amp;"},"</f>
        <v>grid_end = {64132, 50608},</v>
      </c>
      <c r="C18" s="12" t="str">
        <f>screen!$B47&amp;" = {"&amp;ROUND(screen!G47,0)&amp;", "&amp;ROUND(screen!G48,0)&amp;"},"</f>
        <v>grid_end = {1644, 811},</v>
      </c>
      <c r="D18" s="12" t="str">
        <f>IF(screen!$H$2&lt;16/9,screen!$B47&amp;" = {"&amp;ROUND(screen!H47,0)&amp;", "&amp;ROUND(screen!H48,0)&amp;"},","")</f>
        <v>grid_end = {64272, 48824},</v>
      </c>
      <c r="E18" s="12" t="str">
        <f>IF(screen!$H$2&lt;16/9,screen!$B47&amp;" = {"&amp;ROUND(screen!I47,0)&amp;", "&amp;ROUND(screen!I48,0)&amp;"},","")</f>
        <v>grid_end = {1648, 782},</v>
      </c>
    </row>
    <row r="19" spans="1:5">
      <c r="A19" s="12" t="str">
        <f>screen!$B49&amp;" = {"&amp;ROUND(screen!E49,0)&amp;", "&amp;ROUND(screen!E50,0)&amp;"},"</f>
        <v>accept_invite = {0, 0},</v>
      </c>
      <c r="B19" s="12" t="str">
        <f>screen!$B49&amp;" = {"&amp;ROUND(screen!F49,0)&amp;", "&amp;ROUND(screen!F50,0)&amp;"},"</f>
        <v>accept_invite = {0, 0},</v>
      </c>
      <c r="C19" s="12" t="str">
        <f>screen!$B49&amp;" = {"&amp;ROUND(screen!G49,0)&amp;", "&amp;ROUND(screen!G50,0)&amp;"},"</f>
        <v>accept_invite = {0, 0},</v>
      </c>
      <c r="D19" s="12" t="str">
        <f>IF(screen!$H$2&lt;16/9,screen!$B49&amp;" = {"&amp;ROUND(screen!H49,0)&amp;", "&amp;ROUND(screen!H50,0)&amp;"},","")</f>
        <v>accept_invite = {0, 0},</v>
      </c>
      <c r="E19" s="12" t="str">
        <f>IF(screen!$H$2&lt;16/9,screen!$B49&amp;" = {"&amp;ROUND(screen!I49,0)&amp;", "&amp;ROUND(screen!I50,0)&amp;"},","")</f>
        <v>accept_invite = {0, 0},</v>
      </c>
    </row>
    <row r="20" spans="1:5">
      <c r="A20" s="13" t="s">
        <v>68</v>
      </c>
      <c r="B20" s="13" t="s">
        <v>68</v>
      </c>
      <c r="C20" s="13" t="s">
        <v>68</v>
      </c>
      <c r="D20" s="10" t="str">
        <f>IF(screen!$H$2&lt;16/9,"-- left","")</f>
        <v>-- left</v>
      </c>
      <c r="E20" s="10" t="str">
        <f>IF(screen!$H$2&lt;16/9,"-- left","")</f>
        <v>-- left</v>
      </c>
    </row>
    <row r="21" spans="1:5">
      <c r="A21" s="12" t="str">
        <f>screen!$B52&amp;" = {"&amp;ROUND(screen!E52,0)&amp;", "&amp;ROUND(screen!E53,0)&amp;"},"</f>
        <v>leave_game = {7923, 29275},</v>
      </c>
      <c r="B21" s="12" t="str">
        <f>screen!$B52&amp;" = {"&amp;ROUND(screen!F52,0)&amp;", "&amp;ROUND(screen!F53,0)&amp;"},"</f>
        <v>leave_game = {8803, 29275},</v>
      </c>
      <c r="C21" s="12" t="str">
        <f>screen!$B52&amp;" = {"&amp;ROUND(screen!G52,0)&amp;", "&amp;ROUND(screen!G53,0)&amp;"},"</f>
        <v>leave_game = {226, 469},</v>
      </c>
      <c r="D21" s="12" t="str">
        <f>IF(screen!$H$2&lt;16/9,screen!$B52&amp;" = {"&amp;ROUND(screen!H52,0)&amp;", "&amp;ROUND(screen!H53,0)&amp;"},","")</f>
        <v>leave_game = {7923, 29624},</v>
      </c>
      <c r="E21" s="12" t="str">
        <f>IF(screen!$H$2&lt;16/9,screen!$B52&amp;" = {"&amp;ROUND(screen!I52,0)&amp;", "&amp;ROUND(screen!I53,0)&amp;"},","")</f>
        <v>leave_game = {203, 475},</v>
      </c>
    </row>
    <row r="22" spans="1:5">
      <c r="A22" s="12" t="str">
        <f>screen!$B54&amp;" = {"&amp;ROUND(screen!E54,0)&amp;", "&amp;ROUND(screen!E55,0)&amp;"},"</f>
        <v>start_game = {8192, 31457},</v>
      </c>
      <c r="B22" s="12" t="str">
        <f>screen!$B54&amp;" = {"&amp;ROUND(screen!F54,0)&amp;", "&amp;ROUND(screen!F55,0)&amp;"},"</f>
        <v>start_game = {9102, 31457},</v>
      </c>
      <c r="C22" s="12" t="str">
        <f>screen!$B54&amp;" = {"&amp;ROUND(screen!G54,0)&amp;", "&amp;ROUND(screen!G55,0)&amp;"},"</f>
        <v>start_game = {233, 504},</v>
      </c>
      <c r="D22" s="12" t="str">
        <f>IF(screen!$H$2&lt;16/9,screen!$B54&amp;" = {"&amp;ROUND(screen!H54,0)&amp;", "&amp;ROUND(screen!H55,0)&amp;"},","")</f>
        <v>start_game = {8192, 31588},</v>
      </c>
      <c r="E22" s="12" t="str">
        <f>IF(screen!$H$2&lt;16/9,screen!$B54&amp;" = {"&amp;ROUND(screen!I54,0)&amp;", "&amp;ROUND(screen!I55,0)&amp;"},","")</f>
        <v>start_game = {210, 506},</v>
      </c>
    </row>
    <row r="23" spans="1:5">
      <c r="A23" s="12" t="str">
        <f>screen!$B56&amp;" = {"&amp;ROUND(screen!E56,0)&amp;", "&amp;ROUND(screen!E57,0)&amp;"},"</f>
        <v>cube_meterial = {24576, 51882},</v>
      </c>
      <c r="B23" s="12" t="str">
        <f>screen!$B56&amp;" = {"&amp;ROUND(screen!F56,0)&amp;", "&amp;ROUND(screen!F57,0)&amp;"},"</f>
        <v>cube_meterial = {27307, 51882},</v>
      </c>
      <c r="C23" s="12" t="str">
        <f>screen!$B56&amp;" = {"&amp;ROUND(screen!G56,0)&amp;", "&amp;ROUND(screen!G57,0)&amp;"},"</f>
        <v>cube_meterial = {700, 831},</v>
      </c>
      <c r="D23" s="12" t="str">
        <f>IF(screen!$H$2&lt;16/9,screen!$B56&amp;" = {"&amp;ROUND(screen!H56,0)&amp;", "&amp;ROUND(screen!H57,0)&amp;"},","")</f>
        <v>cube_meterial = {24576, 49971},</v>
      </c>
      <c r="E23" s="12" t="str">
        <f>IF(screen!$H$2&lt;16/9,screen!$B56&amp;" = {"&amp;ROUND(screen!I56,0)&amp;", "&amp;ROUND(screen!I57,0)&amp;"},","")</f>
        <v>cube_meterial = {630, 801},</v>
      </c>
    </row>
    <row r="24" spans="1:5">
      <c r="A24" s="12" t="str">
        <f>screen!$B58&amp;" = {"&amp;ROUND(screen!E58,0)&amp;", "&amp;ROUND(screen!E59,0)&amp;"},"</f>
        <v>cube_accept = {8190, 50060},</v>
      </c>
      <c r="B24" s="12" t="str">
        <f>screen!$B58&amp;" = {"&amp;ROUND(screen!F58,0)&amp;", "&amp;ROUND(screen!F59,0)&amp;"},"</f>
        <v>cube_accept = {9100, 50060},</v>
      </c>
      <c r="C24" s="12" t="str">
        <f>screen!$B58&amp;" = {"&amp;ROUND(screen!G58,0)&amp;", "&amp;ROUND(screen!G59,0)&amp;"},"</f>
        <v>cube_accept = {233, 802},</v>
      </c>
      <c r="D24" s="12" t="str">
        <f>IF(screen!$H$2&lt;16/9,screen!$B58&amp;" = {"&amp;ROUND(screen!H58,0)&amp;", "&amp;ROUND(screen!H59,0)&amp;"},","")</f>
        <v>cube_accept = {8190, 48331},</v>
      </c>
      <c r="E24" s="12" t="str">
        <f>IF(screen!$H$2&lt;16/9,screen!$B58&amp;" = {"&amp;ROUND(screen!I58,0)&amp;", "&amp;ROUND(screen!I59,0)&amp;"},","")</f>
        <v>cube_accept = {210, 774},</v>
      </c>
    </row>
    <row r="25" spans="1:5">
      <c r="A25" s="12" t="str">
        <f>screen!$B60&amp;" = {"&amp;ROUND(screen!E60,0)&amp;", "&amp;ROUND(screen!E61,0)&amp;"},"</f>
        <v>cube_previous = {2000, 50500},</v>
      </c>
      <c r="B25" s="12" t="str">
        <f>screen!$B60&amp;" = {"&amp;ROUND(screen!F60,0)&amp;", "&amp;ROUND(screen!F61,0)&amp;"},"</f>
        <v>cube_previous = {2222, 50500},</v>
      </c>
      <c r="C25" s="12" t="str">
        <f>screen!$B60&amp;" = {"&amp;ROUND(screen!G60,0)&amp;", "&amp;ROUND(screen!G61,0)&amp;"},"</f>
        <v>cube_previous = {57, 809},</v>
      </c>
      <c r="D25" s="12" t="str">
        <f>IF(screen!$H$2&lt;16/9,screen!$B60&amp;" = {"&amp;ROUND(screen!H60,0)&amp;", "&amp;ROUND(screen!H61,0)&amp;"},","")</f>
        <v>cube_previous = {2000, 48727},</v>
      </c>
      <c r="E25" s="12" t="str">
        <f>IF(screen!$H$2&lt;16/9,screen!$B60&amp;" = {"&amp;ROUND(screen!I60,0)&amp;", "&amp;ROUND(screen!I61,0)&amp;"},","")</f>
        <v>cube_previous = {51, 781},</v>
      </c>
    </row>
    <row r="26" spans="1:5">
      <c r="A26" s="12" t="str">
        <f>screen!$B62&amp;" = {"&amp;ROUND(screen!E62,0)&amp;", "&amp;ROUND(screen!E63,0)&amp;"},"</f>
        <v>cube_next = {2900, 50500},</v>
      </c>
      <c r="B26" s="12" t="str">
        <f>screen!$B62&amp;" = {"&amp;ROUND(screen!F62,0)&amp;", "&amp;ROUND(screen!F63,0)&amp;"},"</f>
        <v>cube_next = {3222, 50500},</v>
      </c>
      <c r="C26" s="12" t="str">
        <f>screen!$B62&amp;" = {"&amp;ROUND(screen!G62,0)&amp;", "&amp;ROUND(screen!G63,0)&amp;"},"</f>
        <v>cube_next = {83, 809},</v>
      </c>
      <c r="D26" s="12" t="str">
        <f>IF(screen!$H$2&lt;16/9,screen!$B62&amp;" = {"&amp;ROUND(screen!H62,0)&amp;", "&amp;ROUND(screen!H63,0)&amp;"},","")</f>
        <v>cube_next = {2900, 48727},</v>
      </c>
      <c r="E26" s="12" t="str">
        <f>IF(screen!$H$2&lt;16/9,screen!$B62&amp;" = {"&amp;ROUND(screen!I62,0)&amp;", "&amp;ROUND(screen!I63,0)&amp;"},","")</f>
        <v>cube_next = {74, 781},</v>
      </c>
    </row>
    <row r="27" spans="1:5">
      <c r="A27" s="12" t="str">
        <f>screen!$B64&amp;" = {"&amp;ROUND(screen!E64,0)&amp;", "&amp;ROUND(screen!E65,0)&amp;"},"</f>
        <v>cube_grid_1 = {7078, 24576},</v>
      </c>
      <c r="B27" s="12" t="str">
        <f>screen!$B64&amp;" = {"&amp;ROUND(screen!F64,0)&amp;", "&amp;ROUND(screen!F65,0)&amp;"},"</f>
        <v>cube_grid_1 = {7864, 24576},</v>
      </c>
      <c r="C27" s="12" t="str">
        <f>screen!$B64&amp;" = {"&amp;ROUND(screen!G64,0)&amp;", "&amp;ROUND(screen!G65,0)&amp;"},"</f>
        <v>cube_grid_1 = {202, 394},</v>
      </c>
      <c r="D27" s="12" t="str">
        <f>IF(screen!$H$2&lt;16/9,screen!$B64&amp;" = {"&amp;ROUND(screen!H64,0)&amp;", "&amp;ROUND(screen!H65,0)&amp;"},","")</f>
        <v>cube_grid_1 = {7078, 25395},</v>
      </c>
      <c r="E27" s="12" t="str">
        <f>IF(screen!$H$2&lt;16/9,screen!$B64&amp;" = {"&amp;ROUND(screen!I64,0)&amp;", "&amp;ROUND(screen!I65,0)&amp;"},","")</f>
        <v>cube_grid_1 = {181, 407},</v>
      </c>
    </row>
    <row r="28" spans="1:5">
      <c r="A28" s="12" t="str">
        <f>screen!$B66&amp;" = {"&amp;ROUND(screen!E66,0)&amp;", "&amp;ROUND(screen!E67,0)&amp;"},"</f>
        <v>mate_2_icon = {2151, 15063},</v>
      </c>
      <c r="B28" s="12" t="str">
        <f>screen!$B66&amp;" = {"&amp;ROUND(screen!F66,0)&amp;", "&amp;ROUND(screen!F67,0)&amp;"},"</f>
        <v>mate_2_icon = {2390, 15063},</v>
      </c>
      <c r="C28" s="12" t="str">
        <f>screen!$B66&amp;" = {"&amp;ROUND(screen!G66,0)&amp;", "&amp;ROUND(screen!G67,0)&amp;"},"</f>
        <v>mate_2_icon = {61, 241},</v>
      </c>
      <c r="D28" s="12" t="str">
        <f>IF(screen!$H$2&lt;16/9,screen!$B66&amp;" = {"&amp;ROUND(screen!H66,0)&amp;", "&amp;ROUND(screen!H67,0)&amp;"},","")</f>
        <v>mate_2_icon = {2151, 16833},</v>
      </c>
      <c r="E28" s="12" t="str">
        <f>IF(screen!$H$2&lt;16/9,screen!$B66&amp;" = {"&amp;ROUND(screen!I66,0)&amp;", "&amp;ROUND(screen!I67,0)&amp;"},","")</f>
        <v>mate_2_icon = {55, 270},</v>
      </c>
    </row>
    <row r="29" spans="1:5">
      <c r="A29" s="12" t="str">
        <f>screen!$B68&amp;" = {"&amp;ROUND(screen!E68,0)&amp;", "&amp;ROUND(screen!E69,0)&amp;"},"</f>
        <v>mate_2_tp = {4781, 23566},</v>
      </c>
      <c r="B29" s="12" t="str">
        <f>screen!$B68&amp;" = {"&amp;ROUND(screen!F68,0)&amp;", "&amp;ROUND(screen!F69,0)&amp;"},"</f>
        <v>mate_2_tp = {5312, 23566},</v>
      </c>
      <c r="C29" s="12" t="str">
        <f>screen!$B68&amp;" = {"&amp;ROUND(screen!G68,0)&amp;", "&amp;ROUND(screen!G69,0)&amp;"},"</f>
        <v>mate_2_tp = {136, 378},</v>
      </c>
      <c r="D29" s="12" t="str">
        <f>IF(screen!$H$2&lt;16/9,screen!$B68&amp;" = {"&amp;ROUND(screen!H68,0)&amp;", "&amp;ROUND(screen!H69,0)&amp;"},","")</f>
        <v>mate_2_tp = {4781, 24486},</v>
      </c>
      <c r="E29" s="12" t="str">
        <f>IF(screen!$H$2&lt;16/9,screen!$B68&amp;" = {"&amp;ROUND(screen!I68,0)&amp;", "&amp;ROUND(screen!I69,0)&amp;"},","")</f>
        <v>mate_2_tp = {123, 392},</v>
      </c>
    </row>
    <row r="30" spans="1:5">
      <c r="A30" s="12" t="str">
        <f>screen!$B70&amp;" = {"&amp;ROUND(screen!E70,0)&amp;", "&amp;ROUND(screen!E71,0)&amp;"},"</f>
        <v>flwer_icon = {5243, 2752},</v>
      </c>
      <c r="B30" s="12" t="str">
        <f>screen!$B70&amp;" = {"&amp;ROUND(screen!F70,0)&amp;", "&amp;ROUND(screen!F71,0)&amp;"},"</f>
        <v>flwer_icon = {5826, 2752},</v>
      </c>
      <c r="C30" s="12" t="str">
        <f>screen!$B70&amp;" = {"&amp;ROUND(screen!G70,0)&amp;", "&amp;ROUND(screen!G71,0)&amp;"},"</f>
        <v>flwer_icon = {149, 44},</v>
      </c>
      <c r="D30" s="12" t="str">
        <f>IF(screen!$H$2&lt;16/9,screen!$B70&amp;" = {"&amp;ROUND(screen!H70,0)&amp;", "&amp;ROUND(screen!H71,0)&amp;"},","")</f>
        <v>flwer_icon = {5243, 5754},</v>
      </c>
      <c r="E30" s="12" t="str">
        <f>IF(screen!$H$2&lt;16/9,screen!$B70&amp;" = {"&amp;ROUND(screen!I70,0)&amp;", "&amp;ROUND(screen!I71,0)&amp;"},","")</f>
        <v>flwer_icon = {134, 92},</v>
      </c>
    </row>
    <row r="31" spans="1:5">
      <c r="A31" s="12" t="str">
        <f>screen!$B72&amp;" = {"&amp;ROUND(screen!E72,0)&amp;", "&amp;ROUND(screen!E73,0)&amp;"},"</f>
        <v>flwer_dismiss = {9503, 9699},</v>
      </c>
      <c r="B31" s="12" t="str">
        <f>screen!$B72&amp;" = {"&amp;ROUND(screen!F72,0)&amp;", "&amp;ROUND(screen!F73,0)&amp;"},"</f>
        <v>flwer_dismiss = {10559, 9699},</v>
      </c>
      <c r="C31" s="12" t="str">
        <f>screen!$B72&amp;" = {"&amp;ROUND(screen!G72,0)&amp;", "&amp;ROUND(screen!G73,0)&amp;"},"</f>
        <v>flwer_dismiss = {271, 155},</v>
      </c>
      <c r="D31" s="12" t="str">
        <f>IF(screen!$H$2&lt;16/9,screen!$B72&amp;" = {"&amp;ROUND(screen!H72,0)&amp;", "&amp;ROUND(screen!H73,0)&amp;"},","")</f>
        <v>flwer_dismiss = {9503, 12006},</v>
      </c>
      <c r="E31" s="12" t="str">
        <f>IF(screen!$H$2&lt;16/9,screen!$B72&amp;" = {"&amp;ROUND(screen!I72,0)&amp;", "&amp;ROUND(screen!I73,0)&amp;"},","")</f>
        <v>flwer_dismiss = {244, 192},</v>
      </c>
    </row>
    <row r="32" spans="1:5">
      <c r="A32" s="11" t="s">
        <v>72</v>
      </c>
      <c r="B32" s="11" t="s">
        <v>72</v>
      </c>
      <c r="C32" s="11" t="s">
        <v>72</v>
      </c>
      <c r="D32" s="11" t="str">
        <f>IF(screen!$H$2&lt;16/9,"}","")</f>
        <v>}</v>
      </c>
      <c r="E32" s="11" t="str">
        <f>IF(screen!$H$2&lt;16/9,"}","")</f>
        <v>}</v>
      </c>
    </row>
  </sheetData>
  <mergeCells count="1">
    <mergeCell ref="A1:E1"/>
  </mergeCells>
  <phoneticPr fontId="1" type="noConversion"/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screen</vt:lpstr>
      <vt:lpstr>lua table</vt:lpstr>
      <vt:lpstr>lua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Fish</dc:creator>
  <cp:lastModifiedBy>余 環宇</cp:lastModifiedBy>
  <cp:lastPrinted>2019-10-07T05:32:39Z</cp:lastPrinted>
  <dcterms:created xsi:type="dcterms:W3CDTF">2019-10-07T04:49:48Z</dcterms:created>
  <dcterms:modified xsi:type="dcterms:W3CDTF">2020-12-05T04:46:09Z</dcterms:modified>
</cp:coreProperties>
</file>