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12 Setting\Logi-Pub\"/>
    </mc:Choice>
  </mc:AlternateContent>
  <xr:revisionPtr revIDLastSave="0" documentId="13_ncr:1_{FE439177-64EE-44D7-A4CC-91D77A6CB7AB}" xr6:coauthVersionLast="47" xr6:coauthVersionMax="47" xr10:uidLastSave="{00000000-0000-0000-0000-000000000000}"/>
  <bookViews>
    <workbookView xWindow="6585" yWindow="0" windowWidth="38700" windowHeight="20985" xr2:uid="{47307A35-B5AE-0441-937E-6F3157059FFC}"/>
  </bookViews>
  <sheets>
    <sheet name="screen" sheetId="1" r:id="rId1"/>
    <sheet name="lua table" sheetId="2" r:id="rId2"/>
    <sheet name="lua table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2" i="1" l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11" i="1"/>
  <c r="N10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53" i="1"/>
  <c r="N52" i="1"/>
  <c r="N47" i="1"/>
  <c r="N48" i="1"/>
  <c r="N49" i="1"/>
  <c r="N50" i="1"/>
  <c r="N46" i="1"/>
  <c r="N45" i="1"/>
  <c r="D50" i="1"/>
  <c r="D49" i="1"/>
  <c r="F50" i="1"/>
  <c r="L60" i="1"/>
  <c r="L54" i="1"/>
  <c r="L55" i="1"/>
  <c r="L56" i="1"/>
  <c r="L57" i="1"/>
  <c r="L58" i="1"/>
  <c r="L59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53" i="1"/>
  <c r="L52" i="1"/>
  <c r="L47" i="1"/>
  <c r="L48" i="1"/>
  <c r="L49" i="1"/>
  <c r="L50" i="1"/>
  <c r="L46" i="1"/>
  <c r="L45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11" i="1"/>
  <c r="L10" i="1"/>
  <c r="A22" i="3"/>
  <c r="A23" i="3"/>
  <c r="A24" i="3"/>
  <c r="A25" i="3"/>
  <c r="A26" i="3"/>
  <c r="A27" i="3"/>
  <c r="A28" i="3"/>
  <c r="A29" i="3"/>
  <c r="A30" i="3"/>
  <c r="A31" i="3"/>
  <c r="B42" i="2" l="1"/>
  <c r="B44" i="2"/>
  <c r="A41" i="2"/>
  <c r="A42" i="2"/>
  <c r="A43" i="2"/>
  <c r="A44" i="2"/>
  <c r="F61" i="1"/>
  <c r="F63" i="1"/>
  <c r="D63" i="1"/>
  <c r="D62" i="1"/>
  <c r="D61" i="1"/>
  <c r="D60" i="1"/>
  <c r="F41" i="1" l="1"/>
  <c r="D41" i="1"/>
  <c r="D40" i="1"/>
  <c r="A1" i="2" l="1"/>
  <c r="A6" i="3"/>
  <c r="A1" i="3"/>
  <c r="A21" i="3"/>
  <c r="A19" i="3"/>
  <c r="A18" i="3"/>
  <c r="A17" i="3"/>
  <c r="A14" i="3"/>
  <c r="A13" i="3"/>
  <c r="A12" i="3"/>
  <c r="A11" i="3"/>
  <c r="A10" i="3"/>
  <c r="A9" i="3"/>
  <c r="A8" i="3"/>
  <c r="A7" i="3"/>
  <c r="B3" i="3" l="1"/>
  <c r="B22" i="2"/>
  <c r="A22" i="2"/>
  <c r="A21" i="2"/>
  <c r="B31" i="2"/>
  <c r="A31" i="2"/>
  <c r="A30" i="2"/>
  <c r="E42" i="1" l="1"/>
  <c r="A15" i="3" s="1"/>
  <c r="F39" i="1"/>
  <c r="D39" i="1"/>
  <c r="D38" i="1"/>
  <c r="A9" i="2" l="1"/>
  <c r="A10" i="2"/>
  <c r="A35" i="2"/>
  <c r="A36" i="2"/>
  <c r="A37" i="2"/>
  <c r="A38" i="2"/>
  <c r="A39" i="2"/>
  <c r="A40" i="2"/>
  <c r="A45" i="2"/>
  <c r="A46" i="2"/>
  <c r="A47" i="2"/>
  <c r="A48" i="2"/>
  <c r="A49" i="2"/>
  <c r="A50" i="2"/>
  <c r="A51" i="2"/>
  <c r="A52" i="2"/>
  <c r="A53" i="2"/>
  <c r="A54" i="2"/>
  <c r="A34" i="2"/>
  <c r="A33" i="2"/>
  <c r="A28" i="2"/>
  <c r="A29" i="2"/>
  <c r="A27" i="2"/>
  <c r="A26" i="2"/>
  <c r="A13" i="2"/>
  <c r="A14" i="2"/>
  <c r="A15" i="2"/>
  <c r="A16" i="2"/>
  <c r="A17" i="2"/>
  <c r="A18" i="2"/>
  <c r="A19" i="2"/>
  <c r="A20" i="2"/>
  <c r="A23" i="2"/>
  <c r="A24" i="2"/>
  <c r="A12" i="2"/>
  <c r="A11" i="2"/>
  <c r="A8" i="2"/>
  <c r="A7" i="2"/>
  <c r="B3" i="2" l="1"/>
  <c r="F73" i="1"/>
  <c r="B54" i="2" s="1"/>
  <c r="D73" i="1"/>
  <c r="D72" i="1"/>
  <c r="F71" i="1"/>
  <c r="B52" i="2" s="1"/>
  <c r="D71" i="1"/>
  <c r="D70" i="1"/>
  <c r="F65" i="1" l="1"/>
  <c r="B46" i="2" s="1"/>
  <c r="D65" i="1"/>
  <c r="D64" i="1"/>
  <c r="F59" i="1"/>
  <c r="B40" i="2" s="1"/>
  <c r="D59" i="1"/>
  <c r="D58" i="1"/>
  <c r="F57" i="1"/>
  <c r="B38" i="2" s="1"/>
  <c r="D57" i="1"/>
  <c r="D56" i="1"/>
  <c r="F55" i="1"/>
  <c r="B36" i="2" s="1"/>
  <c r="D55" i="1"/>
  <c r="D54" i="1"/>
  <c r="F69" i="1" l="1"/>
  <c r="B50" i="2" s="1"/>
  <c r="D69" i="1"/>
  <c r="D68" i="1"/>
  <c r="F67" i="1"/>
  <c r="B48" i="2" s="1"/>
  <c r="D67" i="1"/>
  <c r="D66" i="1"/>
  <c r="F43" i="1"/>
  <c r="B24" i="2" s="1"/>
  <c r="D43" i="1"/>
  <c r="D42" i="1"/>
  <c r="F37" i="1"/>
  <c r="B20" i="2" s="1"/>
  <c r="D37" i="1"/>
  <c r="D36" i="1"/>
  <c r="F11" i="1" l="1"/>
  <c r="B6" i="2" s="1"/>
  <c r="F10" i="1"/>
  <c r="F53" i="1"/>
  <c r="B34" i="2" s="1"/>
  <c r="D53" i="1"/>
  <c r="D52" i="1"/>
  <c r="F48" i="1"/>
  <c r="B29" i="2" s="1"/>
  <c r="D48" i="1"/>
  <c r="D47" i="1"/>
  <c r="F46" i="1"/>
  <c r="B27" i="2" s="1"/>
  <c r="D46" i="1"/>
  <c r="D45" i="1"/>
  <c r="F35" i="1"/>
  <c r="B18" i="2" s="1"/>
  <c r="D35" i="1"/>
  <c r="D34" i="1"/>
  <c r="F33" i="1"/>
  <c r="B16" i="2" s="1"/>
  <c r="D33" i="1"/>
  <c r="D32" i="1"/>
  <c r="F31" i="1"/>
  <c r="B14" i="2" s="1"/>
  <c r="D31" i="1"/>
  <c r="D30" i="1"/>
  <c r="F29" i="1"/>
  <c r="B12" i="2" s="1"/>
  <c r="D29" i="1"/>
  <c r="D28" i="1"/>
  <c r="F27" i="1"/>
  <c r="D27" i="1"/>
  <c r="D26" i="1"/>
  <c r="F25" i="1"/>
  <c r="D25" i="1"/>
  <c r="D24" i="1"/>
  <c r="F23" i="1"/>
  <c r="D23" i="1"/>
  <c r="D22" i="1"/>
  <c r="F21" i="1"/>
  <c r="D21" i="1"/>
  <c r="D20" i="1"/>
  <c r="F19" i="1"/>
  <c r="D19" i="1"/>
  <c r="D18" i="1"/>
  <c r="F17" i="1"/>
  <c r="D17" i="1"/>
  <c r="D16" i="1"/>
  <c r="F15" i="1"/>
  <c r="D15" i="1"/>
  <c r="D14" i="1"/>
  <c r="F13" i="1"/>
  <c r="B8" i="2" s="1"/>
  <c r="D13" i="1"/>
  <c r="D12" i="1"/>
  <c r="E11" i="1"/>
  <c r="E10" i="1"/>
  <c r="D8" i="1"/>
  <c r="D7" i="1"/>
  <c r="H4" i="1"/>
  <c r="H3" i="1"/>
  <c r="F49" i="1" l="1"/>
  <c r="G49" i="1"/>
  <c r="G60" i="1"/>
  <c r="G50" i="1"/>
  <c r="C31" i="2" s="1"/>
  <c r="G41" i="1"/>
  <c r="C22" i="2" s="1"/>
  <c r="G61" i="1"/>
  <c r="C42" i="2" s="1"/>
  <c r="G63" i="1"/>
  <c r="C44" i="2" s="1"/>
  <c r="F62" i="1"/>
  <c r="B26" i="3" s="1"/>
  <c r="G62" i="1"/>
  <c r="C26" i="3" s="1"/>
  <c r="F60" i="1"/>
  <c r="B25" i="3" s="1"/>
  <c r="G40" i="1"/>
  <c r="F40" i="1"/>
  <c r="G39" i="1"/>
  <c r="C3" i="3"/>
  <c r="G38" i="1"/>
  <c r="F38" i="1"/>
  <c r="B13" i="3" s="1"/>
  <c r="B5" i="2"/>
  <c r="B5" i="3"/>
  <c r="A5" i="3"/>
  <c r="B10" i="2"/>
  <c r="D10" i="1"/>
  <c r="G10" i="1" s="1"/>
  <c r="A5" i="2"/>
  <c r="D11" i="1"/>
  <c r="A6" i="2"/>
  <c r="C3" i="2"/>
  <c r="G12" i="1"/>
  <c r="F70" i="1"/>
  <c r="B30" i="3" s="1"/>
  <c r="G72" i="1"/>
  <c r="F72" i="1"/>
  <c r="B31" i="3" s="1"/>
  <c r="G70" i="1"/>
  <c r="G73" i="1"/>
  <c r="C54" i="2" s="1"/>
  <c r="G71" i="1"/>
  <c r="C52" i="2" s="1"/>
  <c r="G64" i="1"/>
  <c r="F64" i="1"/>
  <c r="B27" i="3" s="1"/>
  <c r="G65" i="1"/>
  <c r="C46" i="2" s="1"/>
  <c r="G58" i="1"/>
  <c r="F58" i="1"/>
  <c r="B24" i="3" s="1"/>
  <c r="G59" i="1"/>
  <c r="C40" i="2" s="1"/>
  <c r="G56" i="1"/>
  <c r="F56" i="1"/>
  <c r="B23" i="3" s="1"/>
  <c r="G57" i="1"/>
  <c r="C38" i="2" s="1"/>
  <c r="G67" i="1"/>
  <c r="C48" i="2" s="1"/>
  <c r="F54" i="1"/>
  <c r="B22" i="3" s="1"/>
  <c r="G54" i="1"/>
  <c r="G55" i="1"/>
  <c r="C36" i="2" s="1"/>
  <c r="G66" i="1"/>
  <c r="C28" i="3" s="1"/>
  <c r="G69" i="1"/>
  <c r="C50" i="2" s="1"/>
  <c r="G42" i="1"/>
  <c r="G36" i="1"/>
  <c r="F36" i="1"/>
  <c r="F42" i="1"/>
  <c r="G46" i="1"/>
  <c r="C27" i="2" s="1"/>
  <c r="F66" i="1"/>
  <c r="B28" i="3" s="1"/>
  <c r="G68" i="1"/>
  <c r="F68" i="1"/>
  <c r="B29" i="3" s="1"/>
  <c r="G37" i="1"/>
  <c r="C20" i="2" s="1"/>
  <c r="G43" i="1"/>
  <c r="C24" i="2" s="1"/>
  <c r="G19" i="1"/>
  <c r="F22" i="1"/>
  <c r="G35" i="1"/>
  <c r="C18" i="2" s="1"/>
  <c r="G27" i="1"/>
  <c r="G48" i="1"/>
  <c r="C29" i="2" s="1"/>
  <c r="G13" i="1"/>
  <c r="C8" i="2" s="1"/>
  <c r="G24" i="1"/>
  <c r="G15" i="1"/>
  <c r="F26" i="1"/>
  <c r="G8" i="1"/>
  <c r="F47" i="1"/>
  <c r="G23" i="1"/>
  <c r="G25" i="1"/>
  <c r="G53" i="1"/>
  <c r="C34" i="2" s="1"/>
  <c r="G14" i="1"/>
  <c r="F14" i="1"/>
  <c r="G11" i="1"/>
  <c r="C6" i="2" s="1"/>
  <c r="G22" i="1"/>
  <c r="G17" i="1"/>
  <c r="F24" i="1"/>
  <c r="G31" i="1"/>
  <c r="C14" i="2" s="1"/>
  <c r="F34" i="1"/>
  <c r="G34" i="1"/>
  <c r="G52" i="1"/>
  <c r="G47" i="1"/>
  <c r="F28" i="1"/>
  <c r="F45" i="1"/>
  <c r="G26" i="1"/>
  <c r="H2" i="1"/>
  <c r="F16" i="1"/>
  <c r="G28" i="1"/>
  <c r="G45" i="1"/>
  <c r="G30" i="1"/>
  <c r="G21" i="1"/>
  <c r="F32" i="1"/>
  <c r="G32" i="1"/>
  <c r="F30" i="1"/>
  <c r="G18" i="1"/>
  <c r="F20" i="1"/>
  <c r="G16" i="1"/>
  <c r="F18" i="1"/>
  <c r="G7" i="1"/>
  <c r="F12" i="1"/>
  <c r="G20" i="1"/>
  <c r="G33" i="1"/>
  <c r="C16" i="2" s="1"/>
  <c r="G29" i="1"/>
  <c r="C12" i="2" s="1"/>
  <c r="I50" i="1" l="1"/>
  <c r="I49" i="1"/>
  <c r="H50" i="1"/>
  <c r="H49" i="1"/>
  <c r="D19" i="3" s="1"/>
  <c r="C30" i="3"/>
  <c r="C31" i="3"/>
  <c r="C23" i="3"/>
  <c r="C24" i="3"/>
  <c r="C22" i="3"/>
  <c r="C19" i="3"/>
  <c r="C30" i="2"/>
  <c r="C29" i="3"/>
  <c r="C25" i="3"/>
  <c r="C27" i="3"/>
  <c r="B19" i="3"/>
  <c r="B30" i="2"/>
  <c r="C6" i="3"/>
  <c r="B41" i="2"/>
  <c r="C43" i="2"/>
  <c r="B43" i="2"/>
  <c r="H60" i="1"/>
  <c r="D25" i="3" s="1"/>
  <c r="I60" i="1"/>
  <c r="E41" i="2" s="1"/>
  <c r="H62" i="1"/>
  <c r="D26" i="3" s="1"/>
  <c r="I63" i="1"/>
  <c r="E44" i="2" s="1"/>
  <c r="H61" i="1"/>
  <c r="D42" i="2" s="1"/>
  <c r="I61" i="1"/>
  <c r="E42" i="2" s="1"/>
  <c r="I62" i="1"/>
  <c r="H63" i="1"/>
  <c r="D44" i="2" s="1"/>
  <c r="E25" i="3"/>
  <c r="C41" i="2"/>
  <c r="H48" i="1"/>
  <c r="H47" i="1"/>
  <c r="D18" i="3" s="1"/>
  <c r="H46" i="1"/>
  <c r="H45" i="1"/>
  <c r="D17" i="3" s="1"/>
  <c r="I41" i="1"/>
  <c r="H41" i="1"/>
  <c r="I40" i="1"/>
  <c r="E14" i="3" s="1"/>
  <c r="H40" i="1"/>
  <c r="D21" i="2" s="1"/>
  <c r="B14" i="3"/>
  <c r="B21" i="2"/>
  <c r="C14" i="3"/>
  <c r="C21" i="2"/>
  <c r="E20" i="3"/>
  <c r="E16" i="3"/>
  <c r="E19" i="3"/>
  <c r="D16" i="3"/>
  <c r="E4" i="3"/>
  <c r="E32" i="3"/>
  <c r="D20" i="3"/>
  <c r="C13" i="3"/>
  <c r="D4" i="3"/>
  <c r="D32" i="3"/>
  <c r="E3" i="3"/>
  <c r="D3" i="3"/>
  <c r="B6" i="3"/>
  <c r="C5" i="2"/>
  <c r="C5" i="3"/>
  <c r="C26" i="2"/>
  <c r="C17" i="3"/>
  <c r="B35" i="2"/>
  <c r="B51" i="2"/>
  <c r="C53" i="2"/>
  <c r="C10" i="2"/>
  <c r="C13" i="2"/>
  <c r="C9" i="3"/>
  <c r="C11" i="2"/>
  <c r="C8" i="3"/>
  <c r="E22" i="2"/>
  <c r="D22" i="2"/>
  <c r="E21" i="2"/>
  <c r="E31" i="2"/>
  <c r="D31" i="2"/>
  <c r="E30" i="2"/>
  <c r="I39" i="1"/>
  <c r="H39" i="1"/>
  <c r="H38" i="1"/>
  <c r="I38" i="1"/>
  <c r="B37" i="2"/>
  <c r="C9" i="2"/>
  <c r="C7" i="3"/>
  <c r="B47" i="2"/>
  <c r="B28" i="2"/>
  <c r="B18" i="3"/>
  <c r="C17" i="2"/>
  <c r="C11" i="3"/>
  <c r="C45" i="2"/>
  <c r="C37" i="2"/>
  <c r="B26" i="2"/>
  <c r="B17" i="3"/>
  <c r="C49" i="2"/>
  <c r="B11" i="2"/>
  <c r="B8" i="3"/>
  <c r="B39" i="2"/>
  <c r="C28" i="2"/>
  <c r="C18" i="3"/>
  <c r="C39" i="2"/>
  <c r="B53" i="2"/>
  <c r="C33" i="2"/>
  <c r="C21" i="3"/>
  <c r="B23" i="2"/>
  <c r="B15" i="3"/>
  <c r="B9" i="2"/>
  <c r="B7" i="3"/>
  <c r="B45" i="2"/>
  <c r="B13" i="2"/>
  <c r="B9" i="3"/>
  <c r="C15" i="2"/>
  <c r="C10" i="3"/>
  <c r="C35" i="2"/>
  <c r="B49" i="2"/>
  <c r="B33" i="2"/>
  <c r="B21" i="3"/>
  <c r="B19" i="2"/>
  <c r="B12" i="3"/>
  <c r="C19" i="2"/>
  <c r="C12" i="3"/>
  <c r="B17" i="2"/>
  <c r="B11" i="3"/>
  <c r="C23" i="2"/>
  <c r="C15" i="3"/>
  <c r="B15" i="2"/>
  <c r="B10" i="3"/>
  <c r="C47" i="2"/>
  <c r="C51" i="2"/>
  <c r="E4" i="2"/>
  <c r="E25" i="2"/>
  <c r="E55" i="2"/>
  <c r="E32" i="2"/>
  <c r="E3" i="2"/>
  <c r="D4" i="2"/>
  <c r="D25" i="2"/>
  <c r="D3" i="2"/>
  <c r="D32" i="2"/>
  <c r="D55" i="2"/>
  <c r="B7" i="2"/>
  <c r="C7" i="2"/>
  <c r="I73" i="1"/>
  <c r="E54" i="2" s="1"/>
  <c r="H73" i="1"/>
  <c r="D54" i="2" s="1"/>
  <c r="I72" i="1"/>
  <c r="E31" i="3" s="1"/>
  <c r="H72" i="1"/>
  <c r="I70" i="1"/>
  <c r="H71" i="1"/>
  <c r="D52" i="2" s="1"/>
  <c r="H70" i="1"/>
  <c r="I71" i="1"/>
  <c r="E52" i="2" s="1"/>
  <c r="I65" i="1"/>
  <c r="E46" i="2" s="1"/>
  <c r="I64" i="1"/>
  <c r="H65" i="1"/>
  <c r="D46" i="2" s="1"/>
  <c r="H64" i="1"/>
  <c r="I59" i="1"/>
  <c r="E40" i="2" s="1"/>
  <c r="H59" i="1"/>
  <c r="D40" i="2" s="1"/>
  <c r="H58" i="1"/>
  <c r="I58" i="1"/>
  <c r="E24" i="3" s="1"/>
  <c r="I57" i="1"/>
  <c r="E38" i="2" s="1"/>
  <c r="I56" i="1"/>
  <c r="E23" i="3" s="1"/>
  <c r="H56" i="1"/>
  <c r="H57" i="1"/>
  <c r="D38" i="2" s="1"/>
  <c r="H55" i="1"/>
  <c r="D36" i="2" s="1"/>
  <c r="I54" i="1"/>
  <c r="I55" i="1"/>
  <c r="E36" i="2" s="1"/>
  <c r="H54" i="1"/>
  <c r="H68" i="1"/>
  <c r="H66" i="1"/>
  <c r="H69" i="1"/>
  <c r="D50" i="2" s="1"/>
  <c r="I68" i="1"/>
  <c r="I69" i="1"/>
  <c r="E50" i="2" s="1"/>
  <c r="I67" i="1"/>
  <c r="E48" i="2" s="1"/>
  <c r="H67" i="1"/>
  <c r="D48" i="2" s="1"/>
  <c r="I66" i="1"/>
  <c r="H37" i="1"/>
  <c r="D20" i="2" s="1"/>
  <c r="I36" i="1"/>
  <c r="I43" i="1"/>
  <c r="E24" i="2" s="1"/>
  <c r="I42" i="1"/>
  <c r="H36" i="1"/>
  <c r="H43" i="1"/>
  <c r="D24" i="2" s="1"/>
  <c r="H42" i="1"/>
  <c r="D15" i="3" s="1"/>
  <c r="I37" i="1"/>
  <c r="E20" i="2" s="1"/>
  <c r="I8" i="1"/>
  <c r="I10" i="1"/>
  <c r="I11" i="1"/>
  <c r="E6" i="2" s="1"/>
  <c r="I7" i="1"/>
  <c r="H8" i="1"/>
  <c r="H7" i="1"/>
  <c r="H10" i="1"/>
  <c r="H11" i="1"/>
  <c r="D6" i="2" s="1"/>
  <c r="I53" i="1"/>
  <c r="I35" i="1"/>
  <c r="E18" i="2" s="1"/>
  <c r="I27" i="1"/>
  <c r="H20" i="1"/>
  <c r="I15" i="1"/>
  <c r="I48" i="1"/>
  <c r="E29" i="2" s="1"/>
  <c r="I13" i="1"/>
  <c r="E8" i="2" s="1"/>
  <c r="D29" i="2"/>
  <c r="I30" i="1"/>
  <c r="H23" i="1"/>
  <c r="I21" i="1"/>
  <c r="I19" i="1"/>
  <c r="H53" i="1"/>
  <c r="D34" i="2" s="1"/>
  <c r="H35" i="1"/>
  <c r="D18" i="2" s="1"/>
  <c r="I32" i="1"/>
  <c r="E10" i="3" s="1"/>
  <c r="H27" i="1"/>
  <c r="H15" i="1"/>
  <c r="H25" i="1"/>
  <c r="I16" i="1"/>
  <c r="H34" i="1"/>
  <c r="H32" i="1"/>
  <c r="I25" i="1"/>
  <c r="I18" i="1"/>
  <c r="H13" i="1"/>
  <c r="D8" i="2" s="1"/>
  <c r="I24" i="1"/>
  <c r="H18" i="1"/>
  <c r="I23" i="1"/>
  <c r="I33" i="1"/>
  <c r="E16" i="2" s="1"/>
  <c r="H30" i="1"/>
  <c r="H28" i="1"/>
  <c r="H24" i="1"/>
  <c r="I45" i="1"/>
  <c r="H33" i="1"/>
  <c r="D16" i="2" s="1"/>
  <c r="I28" i="1"/>
  <c r="H21" i="1"/>
  <c r="H16" i="1"/>
  <c r="I17" i="1"/>
  <c r="I52" i="1"/>
  <c r="I47" i="1"/>
  <c r="E18" i="3" s="1"/>
  <c r="I26" i="1"/>
  <c r="H19" i="1"/>
  <c r="I14" i="1"/>
  <c r="I34" i="1"/>
  <c r="H52" i="1"/>
  <c r="H26" i="1"/>
  <c r="H14" i="1"/>
  <c r="I31" i="1"/>
  <c r="E14" i="2" s="1"/>
  <c r="H31" i="1"/>
  <c r="D14" i="2" s="1"/>
  <c r="I22" i="1"/>
  <c r="H17" i="1"/>
  <c r="I46" i="1"/>
  <c r="I29" i="1"/>
  <c r="E12" i="2" s="1"/>
  <c r="H22" i="1"/>
  <c r="I12" i="1"/>
  <c r="H12" i="1"/>
  <c r="D27" i="2"/>
  <c r="H29" i="1"/>
  <c r="D12" i="2" s="1"/>
  <c r="I20" i="1"/>
  <c r="D30" i="2" l="1"/>
  <c r="E28" i="3"/>
  <c r="D21" i="3"/>
  <c r="E26" i="3"/>
  <c r="D8" i="3"/>
  <c r="D27" i="3"/>
  <c r="E43" i="2"/>
  <c r="D43" i="2"/>
  <c r="D41" i="2"/>
  <c r="D24" i="3"/>
  <c r="D30" i="3"/>
  <c r="E27" i="3"/>
  <c r="D13" i="3"/>
  <c r="E15" i="3"/>
  <c r="D14" i="3"/>
  <c r="E27" i="2"/>
  <c r="D11" i="3"/>
  <c r="D7" i="3"/>
  <c r="E8" i="3"/>
  <c r="E12" i="3"/>
  <c r="E17" i="3"/>
  <c r="E34" i="2"/>
  <c r="D31" i="3"/>
  <c r="D23" i="3"/>
  <c r="E11" i="3"/>
  <c r="E29" i="3"/>
  <c r="E5" i="3"/>
  <c r="E21" i="3"/>
  <c r="D9" i="3"/>
  <c r="D29" i="3"/>
  <c r="E6" i="3"/>
  <c r="E22" i="3"/>
  <c r="E7" i="3"/>
  <c r="D10" i="3"/>
  <c r="D12" i="3"/>
  <c r="E30" i="3"/>
  <c r="E13" i="3"/>
  <c r="D28" i="3"/>
  <c r="D6" i="3"/>
  <c r="D22" i="3"/>
  <c r="E9" i="3"/>
  <c r="D5" i="3"/>
  <c r="E7" i="2"/>
  <c r="D47" i="2"/>
  <c r="E45" i="2"/>
  <c r="E5" i="2"/>
  <c r="E13" i="2"/>
  <c r="D49" i="2"/>
  <c r="D35" i="2"/>
  <c r="D51" i="2"/>
  <c r="D23" i="2"/>
  <c r="E10" i="2"/>
  <c r="E35" i="2"/>
  <c r="D15" i="2"/>
  <c r="D10" i="2"/>
  <c r="D53" i="2"/>
  <c r="D37" i="2"/>
  <c r="E53" i="2"/>
  <c r="E28" i="2"/>
  <c r="E33" i="2"/>
  <c r="D9" i="2"/>
  <c r="E23" i="2"/>
  <c r="E19" i="2"/>
  <c r="E37" i="2"/>
  <c r="D17" i="2"/>
  <c r="E11" i="2"/>
  <c r="E26" i="2"/>
  <c r="E51" i="2"/>
  <c r="E47" i="2"/>
  <c r="E39" i="2"/>
  <c r="D39" i="2"/>
  <c r="D11" i="2"/>
  <c r="E15" i="2"/>
  <c r="D26" i="2"/>
  <c r="D5" i="2"/>
  <c r="D33" i="2"/>
  <c r="D19" i="2"/>
  <c r="D28" i="2"/>
  <c r="D13" i="2"/>
  <c r="E9" i="2"/>
  <c r="E17" i="2"/>
  <c r="E49" i="2"/>
  <c r="D45" i="2"/>
  <c r="D7" i="2"/>
</calcChain>
</file>

<file path=xl/sharedStrings.xml><?xml version="1.0" encoding="utf-8"?>
<sst xmlns="http://schemas.openxmlformats.org/spreadsheetml/2006/main" count="180" uniqueCount="90">
  <si>
    <t>分辨率</t>
    <phoneticPr fontId="1" type="noConversion"/>
  </si>
  <si>
    <t>x</t>
    <phoneticPr fontId="1" type="noConversion"/>
  </si>
  <si>
    <t>y</t>
    <phoneticPr fontId="1" type="noConversion"/>
  </si>
  <si>
    <t>Win</t>
    <phoneticPr fontId="1" type="noConversion"/>
  </si>
  <si>
    <t>mac</t>
    <phoneticPr fontId="1" type="noConversion"/>
  </si>
  <si>
    <t>基本：</t>
    <phoneticPr fontId="1" type="noConversion"/>
  </si>
  <si>
    <t>Max</t>
    <phoneticPr fontId="3" type="noConversion"/>
  </si>
  <si>
    <t>x</t>
    <phoneticPr fontId="3" type="noConversion"/>
  </si>
  <si>
    <t>y</t>
    <phoneticPr fontId="3" type="noConversion"/>
  </si>
  <si>
    <t>居中：</t>
    <phoneticPr fontId="1" type="noConversion"/>
  </si>
  <si>
    <t>靠右：</t>
    <phoneticPr fontId="1" type="noConversion"/>
  </si>
  <si>
    <t>靠左：</t>
    <phoneticPr fontId="1" type="noConversion"/>
  </si>
  <si>
    <t>16/9 Win</t>
    <phoneticPr fontId="1" type="noConversion"/>
  </si>
  <si>
    <t>屏幕高度</t>
    <phoneticPr fontId="1" type="noConversion"/>
  </si>
  <si>
    <t>「開始遊戲」按鈕</t>
    <phoneticPr fontId="3" type="noConversion"/>
  </si>
  <si>
    <t>魔盒材料</t>
    <phoneticPr fontId="3" type="noConversion"/>
  </si>
  <si>
    <t>魔盒升級、接受</t>
    <phoneticPr fontId="3" type="noConversion"/>
  </si>
  <si>
    <t>魔盒格子左上</t>
    <phoneticPr fontId="3" type="noConversion"/>
  </si>
  <si>
    <t>隨從圖標</t>
    <phoneticPr fontId="3" type="noConversion"/>
  </si>
  <si>
    <t>隨從解散</t>
    <phoneticPr fontId="3" type="noConversion"/>
  </si>
  <si>
    <t>flwer_icon</t>
    <phoneticPr fontId="3" type="noConversion"/>
  </si>
  <si>
    <t>flwer_dismiss</t>
    <phoneticPr fontId="3" type="noConversion"/>
  </si>
  <si>
    <t>mid</t>
    <phoneticPr fontId="3" type="noConversion"/>
  </si>
  <si>
    <t>grid_start</t>
    <phoneticPr fontId="3" type="noConversion"/>
  </si>
  <si>
    <t>grid_end</t>
    <phoneticPr fontId="3" type="noConversion"/>
  </si>
  <si>
    <t>leave_game</t>
    <phoneticPr fontId="3" type="noConversion"/>
  </si>
  <si>
    <t>start_game</t>
    <phoneticPr fontId="3" type="noConversion"/>
  </si>
  <si>
    <t>cube_grid_1</t>
    <phoneticPr fontId="3" type="noConversion"/>
  </si>
  <si>
    <t>mate_2_icon</t>
    <phoneticPr fontId="3" type="noConversion"/>
  </si>
  <si>
    <t>mate_2_tp</t>
    <phoneticPr fontId="3" type="noConversion"/>
  </si>
  <si>
    <t>a1_icon</t>
    <phoneticPr fontId="3" type="noConversion"/>
  </si>
  <si>
    <t>a1_town</t>
    <phoneticPr fontId="3" type="noConversion"/>
  </si>
  <si>
    <t>a2_icon</t>
    <phoneticPr fontId="3" type="noConversion"/>
  </si>
  <si>
    <t>a2_town</t>
    <phoneticPr fontId="3" type="noConversion"/>
  </si>
  <si>
    <t>cube_accept</t>
    <phoneticPr fontId="3" type="noConversion"/>
  </si>
  <si>
    <t>屏幕寬度</t>
    <phoneticPr fontId="1" type="noConversion"/>
  </si>
  <si>
    <t>屏幕中心</t>
    <phoneticPr fontId="1" type="noConversion"/>
  </si>
  <si>
    <t>橫縱比</t>
    <phoneticPr fontId="1" type="noConversion"/>
  </si>
  <si>
    <t>項目</t>
    <phoneticPr fontId="1" type="noConversion"/>
  </si>
  <si>
    <t>Win黑邊</t>
    <phoneticPr fontId="1" type="noConversion"/>
  </si>
  <si>
    <t>mac黑邊</t>
    <phoneticPr fontId="1" type="noConversion"/>
  </si>
  <si>
    <t>地圖 ACT 1 圖標</t>
  </si>
  <si>
    <t>地圖新崔斯特姆圖標</t>
  </si>
  <si>
    <t>地圖 ACT 2 圖標</t>
  </si>
  <si>
    <t>地圖秘密营地圖標</t>
  </si>
  <si>
    <t>巔峰「通用」頁標</t>
    <phoneticPr fontId="3" type="noConversion"/>
  </si>
  <si>
    <t>巔峰「防禦」頁標</t>
    <phoneticPr fontId="3" type="noConversion"/>
  </si>
  <si>
    <t>巔峰「進攻」頁標</t>
    <phoneticPr fontId="3" type="noConversion"/>
  </si>
  <si>
    <t>巔峰「核心」頁標</t>
    <phoneticPr fontId="3" type="noConversion"/>
  </si>
  <si>
    <t>巔峰「重置」按鈕</t>
    <phoneticPr fontId="3" type="noConversion"/>
  </si>
  <si>
    <t>巔峰「接受」按鈕</t>
    <phoneticPr fontId="3" type="noConversion"/>
  </si>
  <si>
    <t>背包左上格中心點</t>
    <phoneticPr fontId="1" type="noConversion"/>
  </si>
  <si>
    <t>背包右下格中心點</t>
    <phoneticPr fontId="1" type="noConversion"/>
  </si>
  <si>
    <t>「離開遊戲」按鈕</t>
    <phoneticPr fontId="3" type="noConversion"/>
  </si>
  <si>
    <t>隊友2頭像</t>
    <phoneticPr fontId="3" type="noConversion"/>
  </si>
  <si>
    <t>傳送到隊友2</t>
    <phoneticPr fontId="3" type="noConversion"/>
  </si>
  <si>
    <t>變量名</t>
    <phoneticPr fontId="1" type="noConversion"/>
  </si>
  <si>
    <t>巔峰加號1</t>
    <phoneticPr fontId="3" type="noConversion"/>
  </si>
  <si>
    <t>巔峰加號2</t>
  </si>
  <si>
    <t>巔峰加號3</t>
  </si>
  <si>
    <t>巔峰加號4</t>
  </si>
  <si>
    <t>x</t>
    <phoneticPr fontId="3" type="noConversion"/>
  </si>
  <si>
    <t>y</t>
    <phoneticPr fontId="3" type="noConversion"/>
  </si>
  <si>
    <t>p_tab</t>
    <phoneticPr fontId="3" type="noConversion"/>
  </si>
  <si>
    <t>p_add</t>
    <phoneticPr fontId="3" type="noConversion"/>
  </si>
  <si>
    <t>p_reset</t>
    <phoneticPr fontId="3" type="noConversion"/>
  </si>
  <si>
    <t>p_accept</t>
    <phoneticPr fontId="3" type="noConversion"/>
  </si>
  <si>
    <t>-- left</t>
    <phoneticPr fontId="3" type="noConversion"/>
  </si>
  <si>
    <t>-- right</t>
    <phoneticPr fontId="3" type="noConversion"/>
  </si>
  <si>
    <t>-- center</t>
    <phoneticPr fontId="3" type="noConversion"/>
  </si>
  <si>
    <t>[0] = { -- 16/9</t>
    <phoneticPr fontId="1" type="noConversion"/>
  </si>
  <si>
    <t>}</t>
    <phoneticPr fontId="1" type="noConversion"/>
  </si>
  <si>
    <t>=</t>
    <phoneticPr fontId="3" type="noConversion"/>
  </si>
  <si>
    <t>接受組隊邀請</t>
    <phoneticPr fontId="1" type="noConversion"/>
  </si>
  <si>
    <t>人物基點</t>
    <phoneticPr fontId="3" type="noConversion"/>
  </si>
  <si>
    <t>離開隊伍</t>
    <phoneticPr fontId="3" type="noConversion"/>
  </si>
  <si>
    <t>leave_team</t>
    <phoneticPr fontId="3" type="noConversion"/>
  </si>
  <si>
    <t>accept_invite</t>
    <phoneticPr fontId="3" type="noConversion"/>
  </si>
  <si>
    <t>role_ori</t>
    <phoneticPr fontId="3" type="noConversion"/>
  </si>
  <si>
    <t>--center</t>
    <phoneticPr fontId="3" type="noConversion"/>
  </si>
  <si>
    <t>魔盒上一頁</t>
    <phoneticPr fontId="3" type="noConversion"/>
  </si>
  <si>
    <t>魔盒下一頁</t>
    <phoneticPr fontId="3" type="noConversion"/>
  </si>
  <si>
    <t>cube_previous</t>
    <phoneticPr fontId="3" type="noConversion"/>
  </si>
  <si>
    <t>cube_next</t>
    <phoneticPr fontId="3" type="noConversion"/>
  </si>
  <si>
    <t>3440/1440</t>
    <phoneticPr fontId="1" type="noConversion"/>
  </si>
  <si>
    <t>win_l</t>
    <phoneticPr fontId="3" type="noConversion"/>
  </si>
  <si>
    <t>win_t</t>
    <phoneticPr fontId="3" type="noConversion"/>
  </si>
  <si>
    <t>win_w</t>
    <phoneticPr fontId="3" type="noConversion"/>
  </si>
  <si>
    <t>win_h</t>
    <phoneticPr fontId="3" type="noConversion"/>
  </si>
  <si>
    <t>cube_material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</si>
</sst>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8" x14ac:knownFonts="1"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2"/>
      <color theme="0"/>
      <name val="等线"/>
      <family val="4"/>
      <charset val="134"/>
      <scheme val="minor"/>
    </font>
    <font>
      <b/>
      <sz val="12"/>
      <color theme="0"/>
      <name val="等线"/>
      <family val="4"/>
      <charset val="134"/>
      <scheme val="minor"/>
    </font>
    <font>
      <b/>
      <sz val="12"/>
      <color theme="0" tint="-4.9989318521683403E-2"/>
      <name val="等线"/>
      <family val="4"/>
      <charset val="134"/>
      <scheme val="minor"/>
    </font>
    <font>
      <sz val="14"/>
      <color theme="0"/>
      <name val="等线"/>
      <family val="4"/>
      <charset val="134"/>
      <scheme val="minor"/>
    </font>
    <font>
      <b/>
      <sz val="14"/>
      <color theme="0"/>
      <name val="等线"/>
      <family val="4"/>
      <charset val="134"/>
      <scheme val="minor"/>
    </font>
    <font>
      <b/>
      <sz val="12"/>
      <name val="等线"/>
      <family val="4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20"/>
      <name val="等线"/>
      <family val="3"/>
      <charset val="134"/>
      <scheme val="minor"/>
    </font>
    <font>
      <sz val="11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4" borderId="0" xfId="0" applyFill="1">
      <alignment vertical="center"/>
    </xf>
    <xf numFmtId="0" fontId="0" fillId="4" borderId="0" xfId="0" quotePrefix="1" applyFill="1" applyAlignment="1">
      <alignment horizontal="left" vertical="center" indent="1"/>
    </xf>
    <xf numFmtId="1" fontId="0" fillId="4" borderId="0" xfId="0" quotePrefix="1" applyNumberFormat="1" applyFill="1" applyAlignment="1">
      <alignment horizontal="left" vertical="center" indent="1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left" vertical="center" indent="2"/>
    </xf>
    <xf numFmtId="0" fontId="0" fillId="4" borderId="0" xfId="0" quotePrefix="1" applyFill="1" applyAlignment="1">
      <alignment horizontal="left" vertical="center" indent="2"/>
    </xf>
    <xf numFmtId="0" fontId="12" fillId="3" borderId="0" xfId="0" applyFont="1" applyFill="1">
      <alignment vertical="center"/>
    </xf>
    <xf numFmtId="0" fontId="13" fillId="3" borderId="0" xfId="0" applyFont="1" applyFill="1" applyAlignment="1">
      <alignment horizontal="center" vertical="center"/>
    </xf>
    <xf numFmtId="0" fontId="12" fillId="3" borderId="3" xfId="0" applyFont="1" applyFill="1" applyBorder="1">
      <alignment vertical="center"/>
    </xf>
    <xf numFmtId="0" fontId="9" fillId="3" borderId="0" xfId="0" applyFont="1" applyFill="1">
      <alignment vertical="center"/>
    </xf>
    <xf numFmtId="0" fontId="10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3" xfId="0" applyFont="1" applyFill="1" applyBorder="1">
      <alignment vertical="center"/>
    </xf>
    <xf numFmtId="0" fontId="9" fillId="3" borderId="0" xfId="0" applyFont="1" applyFill="1" applyAlignment="1">
      <alignment horizontal="right" vertical="center"/>
    </xf>
    <xf numFmtId="176" fontId="9" fillId="3" borderId="0" xfId="0" applyNumberFormat="1" applyFont="1" applyFill="1" applyAlignment="1">
      <alignment horizontal="right" vertical="center" indent="1"/>
    </xf>
    <xf numFmtId="176" fontId="9" fillId="3" borderId="0" xfId="0" applyNumberFormat="1" applyFont="1" applyFill="1" applyAlignment="1">
      <alignment horizontal="center" vertical="center"/>
    </xf>
    <xf numFmtId="176" fontId="9" fillId="3" borderId="3" xfId="0" applyNumberFormat="1" applyFont="1" applyFill="1" applyBorder="1">
      <alignment vertical="center"/>
    </xf>
    <xf numFmtId="0" fontId="15" fillId="3" borderId="0" xfId="0" applyFont="1" applyFill="1" applyAlignment="1">
      <alignment horizontal="right" vertical="center" indent="1"/>
    </xf>
    <xf numFmtId="0" fontId="9" fillId="3" borderId="0" xfId="0" applyFont="1" applyFill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4" borderId="1" xfId="0" applyFont="1" applyFill="1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6" fillId="4" borderId="5" xfId="0" applyFont="1" applyFill="1" applyBorder="1">
      <alignment vertical="center"/>
    </xf>
    <xf numFmtId="0" fontId="6" fillId="4" borderId="2" xfId="0" applyFont="1" applyFill="1" applyBorder="1">
      <alignment vertical="center"/>
    </xf>
    <xf numFmtId="0" fontId="6" fillId="0" borderId="0" xfId="0" applyFont="1">
      <alignment vertical="center"/>
    </xf>
    <xf numFmtId="0" fontId="7" fillId="2" borderId="0" xfId="0" applyFont="1" applyFill="1" applyAlignment="1">
      <alignment horizontal="center" vertical="center"/>
    </xf>
    <xf numFmtId="9" fontId="6" fillId="2" borderId="0" xfId="1" applyFont="1" applyFill="1" applyBorder="1" applyProtection="1">
      <alignment vertical="center"/>
    </xf>
    <xf numFmtId="0" fontId="6" fillId="2" borderId="0" xfId="0" applyFont="1" applyFill="1">
      <alignment vertical="center"/>
    </xf>
    <xf numFmtId="0" fontId="6" fillId="2" borderId="4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9" fontId="6" fillId="0" borderId="1" xfId="1" applyFont="1" applyFill="1" applyBorder="1" applyProtection="1">
      <alignment vertical="center"/>
    </xf>
    <xf numFmtId="0" fontId="6" fillId="0" borderId="4" xfId="0" applyFont="1" applyBorder="1">
      <alignment vertical="center"/>
    </xf>
    <xf numFmtId="0" fontId="6" fillId="0" borderId="3" xfId="0" applyFont="1" applyBorder="1">
      <alignment vertical="center"/>
    </xf>
    <xf numFmtId="0" fontId="6" fillId="4" borderId="7" xfId="0" applyFont="1" applyFill="1" applyBorder="1">
      <alignment vertical="center"/>
    </xf>
    <xf numFmtId="0" fontId="7" fillId="4" borderId="7" xfId="0" applyFont="1" applyFill="1" applyBorder="1" applyAlignment="1">
      <alignment horizontal="center" vertical="center"/>
    </xf>
    <xf numFmtId="9" fontId="6" fillId="4" borderId="7" xfId="1" applyFont="1" applyFill="1" applyBorder="1" applyProtection="1">
      <alignment vertical="center"/>
    </xf>
    <xf numFmtId="0" fontId="8" fillId="4" borderId="7" xfId="0" applyFont="1" applyFill="1" applyBorder="1">
      <alignment vertical="center"/>
    </xf>
    <xf numFmtId="20" fontId="6" fillId="4" borderId="8" xfId="0" applyNumberFormat="1" applyFont="1" applyFill="1" applyBorder="1">
      <alignment vertical="center"/>
    </xf>
    <xf numFmtId="176" fontId="6" fillId="4" borderId="7" xfId="0" applyNumberFormat="1" applyFont="1" applyFill="1" applyBorder="1">
      <alignment vertical="center"/>
    </xf>
    <xf numFmtId="0" fontId="6" fillId="4" borderId="6" xfId="0" applyFont="1" applyFill="1" applyBorder="1">
      <alignment vertical="center"/>
    </xf>
    <xf numFmtId="1" fontId="6" fillId="2" borderId="0" xfId="0" applyNumberFormat="1" applyFont="1" applyFill="1">
      <alignment vertical="center"/>
    </xf>
    <xf numFmtId="1" fontId="6" fillId="2" borderId="4" xfId="0" applyNumberFormat="1" applyFont="1" applyFill="1" applyBorder="1">
      <alignment vertical="center"/>
    </xf>
    <xf numFmtId="9" fontId="6" fillId="0" borderId="0" xfId="1" applyFont="1" applyFill="1" applyBorder="1" applyProtection="1">
      <alignment vertical="center"/>
    </xf>
    <xf numFmtId="1" fontId="6" fillId="0" borderId="0" xfId="0" applyNumberFormat="1" applyFont="1">
      <alignment vertical="center"/>
    </xf>
    <xf numFmtId="1" fontId="6" fillId="0" borderId="4" xfId="0" applyNumberFormat="1" applyFont="1" applyBorder="1">
      <alignment vertical="center"/>
    </xf>
    <xf numFmtId="1" fontId="6" fillId="2" borderId="0" xfId="1" applyNumberFormat="1" applyFont="1" applyFill="1" applyBorder="1" applyProtection="1">
      <alignment vertical="center"/>
    </xf>
    <xf numFmtId="1" fontId="6" fillId="2" borderId="3" xfId="1" applyNumberFormat="1" applyFont="1" applyFill="1" applyBorder="1" applyProtection="1">
      <alignment vertical="center"/>
    </xf>
    <xf numFmtId="1" fontId="6" fillId="0" borderId="3" xfId="0" applyNumberFormat="1" applyFont="1" applyBorder="1">
      <alignment vertical="center"/>
    </xf>
    <xf numFmtId="1" fontId="8" fillId="2" borderId="3" xfId="1" applyNumberFormat="1" applyFont="1" applyFill="1" applyBorder="1" applyProtection="1">
      <alignment vertical="center"/>
    </xf>
    <xf numFmtId="1" fontId="8" fillId="0" borderId="3" xfId="0" applyNumberFormat="1" applyFont="1" applyBorder="1">
      <alignment vertical="center"/>
    </xf>
    <xf numFmtId="0" fontId="14" fillId="2" borderId="0" xfId="0" applyFont="1" applyFill="1" applyAlignment="1">
      <alignment horizontal="center" vertical="center"/>
    </xf>
    <xf numFmtId="9" fontId="8" fillId="2" borderId="0" xfId="1" applyFont="1" applyFill="1" applyBorder="1" applyProtection="1">
      <alignment vertical="center"/>
    </xf>
    <xf numFmtId="0" fontId="8" fillId="2" borderId="0" xfId="0" applyFont="1" applyFill="1">
      <alignment vertical="center"/>
    </xf>
    <xf numFmtId="1" fontId="8" fillId="2" borderId="4" xfId="0" applyNumberFormat="1" applyFont="1" applyFill="1" applyBorder="1">
      <alignment vertical="center"/>
    </xf>
    <xf numFmtId="1" fontId="8" fillId="2" borderId="0" xfId="1" applyNumberFormat="1" applyFont="1" applyFill="1" applyBorder="1" applyProtection="1">
      <alignment vertical="center"/>
    </xf>
    <xf numFmtId="0" fontId="14" fillId="0" borderId="0" xfId="0" applyFont="1" applyAlignment="1">
      <alignment horizontal="center" vertical="center"/>
    </xf>
    <xf numFmtId="9" fontId="8" fillId="0" borderId="0" xfId="1" applyFont="1" applyFill="1" applyBorder="1" applyProtection="1">
      <alignment vertical="center"/>
    </xf>
    <xf numFmtId="0" fontId="8" fillId="0" borderId="0" xfId="0" applyFont="1">
      <alignment vertical="center"/>
    </xf>
    <xf numFmtId="1" fontId="8" fillId="0" borderId="4" xfId="0" applyNumberFormat="1" applyFont="1" applyBorder="1">
      <alignment vertical="center"/>
    </xf>
    <xf numFmtId="1" fontId="8" fillId="0" borderId="0" xfId="0" applyNumberFormat="1" applyFont="1">
      <alignment vertical="center"/>
    </xf>
    <xf numFmtId="0" fontId="14" fillId="4" borderId="7" xfId="0" applyFont="1" applyFill="1" applyBorder="1" applyAlignment="1">
      <alignment horizontal="center" vertical="center"/>
    </xf>
    <xf numFmtId="9" fontId="8" fillId="4" borderId="7" xfId="1" applyFont="1" applyFill="1" applyBorder="1" applyProtection="1">
      <alignment vertical="center"/>
    </xf>
    <xf numFmtId="0" fontId="8" fillId="4" borderId="8" xfId="0" applyFont="1" applyFill="1" applyBorder="1">
      <alignment vertical="center"/>
    </xf>
    <xf numFmtId="1" fontId="6" fillId="4" borderId="7" xfId="0" applyNumberFormat="1" applyFont="1" applyFill="1" applyBorder="1">
      <alignment vertical="center"/>
    </xf>
    <xf numFmtId="1" fontId="8" fillId="4" borderId="6" xfId="1" applyNumberFormat="1" applyFont="1" applyFill="1" applyBorder="1" applyProtection="1">
      <alignment vertical="center"/>
    </xf>
    <xf numFmtId="1" fontId="8" fillId="2" borderId="0" xfId="0" applyNumberFormat="1" applyFont="1" applyFill="1">
      <alignment vertical="center"/>
    </xf>
    <xf numFmtId="0" fontId="8" fillId="4" borderId="7" xfId="0" applyFont="1" applyFill="1" applyBorder="1" applyAlignment="1">
      <alignment horizontal="left" vertical="center"/>
    </xf>
    <xf numFmtId="1" fontId="8" fillId="4" borderId="6" xfId="0" applyNumberFormat="1" applyFont="1" applyFill="1" applyBorder="1">
      <alignment vertical="center"/>
    </xf>
    <xf numFmtId="0" fontId="4" fillId="0" borderId="0" xfId="0" applyFont="1">
      <alignment vertical="center"/>
    </xf>
    <xf numFmtId="0" fontId="8" fillId="2" borderId="3" xfId="0" applyFont="1" applyFill="1" applyBorder="1">
      <alignment vertical="center"/>
    </xf>
    <xf numFmtId="0" fontId="8" fillId="0" borderId="3" xfId="0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9" fontId="8" fillId="0" borderId="1" xfId="1" applyFont="1" applyFill="1" applyBorder="1" applyProtection="1">
      <alignment vertical="center"/>
    </xf>
    <xf numFmtId="0" fontId="8" fillId="0" borderId="1" xfId="0" applyFont="1" applyBorder="1">
      <alignment vertical="center"/>
    </xf>
    <xf numFmtId="1" fontId="8" fillId="0" borderId="5" xfId="0" applyNumberFormat="1" applyFont="1" applyBorder="1">
      <alignment vertical="center"/>
    </xf>
    <xf numFmtId="1" fontId="8" fillId="0" borderId="1" xfId="0" applyNumberFormat="1" applyFont="1" applyBorder="1">
      <alignment vertical="center"/>
    </xf>
    <xf numFmtId="1" fontId="6" fillId="0" borderId="1" xfId="0" applyNumberFormat="1" applyFont="1" applyBorder="1">
      <alignment vertical="center"/>
    </xf>
    <xf numFmtId="1" fontId="8" fillId="0" borderId="2" xfId="0" applyNumberFormat="1" applyFont="1" applyBorder="1">
      <alignment vertical="center"/>
    </xf>
    <xf numFmtId="0" fontId="5" fillId="0" borderId="0" xfId="0" applyFont="1" applyAlignment="1">
      <alignment horizontal="center" vertical="center"/>
    </xf>
    <xf numFmtId="1" fontId="0" fillId="0" borderId="0" xfId="0" applyNumberFormat="1">
      <alignment vertical="center"/>
    </xf>
    <xf numFmtId="0" fontId="17" fillId="2" borderId="0" xfId="0" applyFont="1" applyFill="1" applyAlignment="1">
      <alignment horizontal="left" vertical="center" indent="1"/>
    </xf>
    <xf numFmtId="0" fontId="17" fillId="0" borderId="0" xfId="0" applyFont="1" applyAlignment="1">
      <alignment horizontal="left" vertical="center" indent="1"/>
    </xf>
    <xf numFmtId="0" fontId="17" fillId="0" borderId="0" xfId="0" applyFont="1" applyAlignment="1">
      <alignment horizontal="left" vertical="center" indent="2"/>
    </xf>
    <xf numFmtId="0" fontId="17" fillId="0" borderId="0" xfId="0" applyFont="1">
      <alignment vertical="center"/>
    </xf>
    <xf numFmtId="1" fontId="17" fillId="0" borderId="0" xfId="0" applyNumberFormat="1" applyFo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16" fillId="5" borderId="0" xfId="0" applyFont="1" applyFill="1" applyAlignment="1" applyProtection="1">
      <alignment horizontal="center" vertical="center"/>
      <protection locked="0"/>
    </xf>
    <xf numFmtId="0" fontId="16" fillId="5" borderId="3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left" vertical="center" indent="1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right" vertical="center"/>
    </xf>
    <xf numFmtId="0" fontId="16" fillId="5" borderId="1" xfId="0" applyFont="1" applyFill="1" applyBorder="1" applyAlignment="1">
      <alignment horizontal="center" vertical="center"/>
    </xf>
    <xf numFmtId="9" fontId="0" fillId="0" borderId="0" xfId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C927F-EAA7-F24B-A136-28B708616A4E}">
  <dimension ref="A1:S73"/>
  <sheetViews>
    <sheetView tabSelected="1" workbookViewId="0">
      <pane ySplit="5" topLeftCell="A25" activePane="bottomLeft" state="frozen"/>
      <selection pane="bottomLeft" activeCell="N48" sqref="N48"/>
    </sheetView>
  </sheetViews>
  <sheetFormatPr defaultColWidth="8.875" defaultRowHeight="14.25" x14ac:dyDescent="0.2"/>
  <cols>
    <col min="1" max="1" width="20.125" customWidth="1"/>
    <col min="2" max="2" width="15.625" customWidth="1"/>
    <col min="3" max="3" width="5.875" style="88" customWidth="1"/>
    <col min="4" max="4" width="7.125" customWidth="1"/>
    <col min="5" max="5" width="7.375" customWidth="1"/>
    <col min="6" max="6" width="10.625" customWidth="1"/>
    <col min="7" max="7" width="9.625" customWidth="1"/>
    <col min="8" max="9" width="11.375" customWidth="1"/>
    <col min="12" max="12" width="9.125" bestFit="1" customWidth="1"/>
  </cols>
  <sheetData>
    <row r="1" spans="1:16" ht="50.1" customHeight="1" x14ac:dyDescent="0.2">
      <c r="A1" s="13"/>
      <c r="B1" s="13"/>
      <c r="C1" s="14"/>
      <c r="D1" s="13"/>
      <c r="E1" s="15"/>
      <c r="F1" s="101" t="s">
        <v>84</v>
      </c>
      <c r="G1" s="101"/>
      <c r="H1" s="101"/>
      <c r="I1" s="102"/>
    </row>
    <row r="2" spans="1:16" ht="15.75" x14ac:dyDescent="0.2">
      <c r="A2" s="16"/>
      <c r="B2" s="16"/>
      <c r="C2" s="17"/>
      <c r="D2" s="18"/>
      <c r="E2" s="19"/>
      <c r="F2" s="20" t="s">
        <v>37</v>
      </c>
      <c r="G2" s="21" t="s">
        <v>72</v>
      </c>
      <c r="H2" s="22">
        <f>H3/H4</f>
        <v>2.3888888888888888</v>
      </c>
      <c r="I2" s="23"/>
      <c r="K2" t="s">
        <v>85</v>
      </c>
      <c r="L2">
        <v>1346</v>
      </c>
      <c r="N2">
        <v>1346</v>
      </c>
    </row>
    <row r="3" spans="1:16" ht="15.75" x14ac:dyDescent="0.2">
      <c r="A3" s="16"/>
      <c r="B3" s="16"/>
      <c r="C3" s="17"/>
      <c r="D3" s="16"/>
      <c r="E3" s="19"/>
      <c r="F3" s="106" t="s">
        <v>0</v>
      </c>
      <c r="G3" s="24" t="s">
        <v>61</v>
      </c>
      <c r="H3" s="25">
        <f>VALUE(LEFT(F$1,FIND("/",F$1)-1))</f>
        <v>3440</v>
      </c>
      <c r="I3" s="19"/>
      <c r="K3" t="s">
        <v>86</v>
      </c>
      <c r="L3">
        <v>95</v>
      </c>
      <c r="N3">
        <v>95</v>
      </c>
    </row>
    <row r="4" spans="1:16" ht="15.75" x14ac:dyDescent="0.2">
      <c r="A4" s="16"/>
      <c r="B4" s="18"/>
      <c r="C4" s="17"/>
      <c r="D4" s="16"/>
      <c r="E4" s="19"/>
      <c r="F4" s="106"/>
      <c r="G4" s="24" t="s">
        <v>62</v>
      </c>
      <c r="H4" s="25">
        <f>VALUE(RIGHT(F$1,FIND("/",F$1)-1))</f>
        <v>1440</v>
      </c>
      <c r="I4" s="19"/>
      <c r="K4" t="s">
        <v>87</v>
      </c>
      <c r="L4">
        <v>1852</v>
      </c>
      <c r="N4">
        <v>1852</v>
      </c>
    </row>
    <row r="5" spans="1:16" s="28" customFormat="1" ht="34.5" customHeight="1" thickBot="1" x14ac:dyDescent="0.25">
      <c r="A5" s="26" t="s">
        <v>38</v>
      </c>
      <c r="B5" s="26" t="s">
        <v>56</v>
      </c>
      <c r="C5" s="26"/>
      <c r="D5" s="104" t="s">
        <v>12</v>
      </c>
      <c r="E5" s="105"/>
      <c r="F5" s="26" t="s">
        <v>3</v>
      </c>
      <c r="G5" s="26" t="s">
        <v>4</v>
      </c>
      <c r="H5" s="26" t="s">
        <v>39</v>
      </c>
      <c r="I5" s="27" t="s">
        <v>40</v>
      </c>
      <c r="K5" t="s">
        <v>88</v>
      </c>
      <c r="L5">
        <v>1081</v>
      </c>
      <c r="M5"/>
      <c r="N5">
        <v>1081</v>
      </c>
    </row>
    <row r="6" spans="1:16" ht="15.75" x14ac:dyDescent="0.2">
      <c r="A6" s="29" t="s">
        <v>5</v>
      </c>
      <c r="B6" s="30"/>
      <c r="C6" s="30"/>
      <c r="D6" s="29"/>
      <c r="E6" s="29"/>
      <c r="F6" s="31"/>
      <c r="G6" s="29"/>
      <c r="H6" s="29"/>
      <c r="I6" s="32"/>
    </row>
    <row r="7" spans="1:16" ht="15.75" x14ac:dyDescent="0.2">
      <c r="A7" s="33" t="s">
        <v>35</v>
      </c>
      <c r="B7" s="103" t="s">
        <v>6</v>
      </c>
      <c r="C7" s="34" t="s">
        <v>7</v>
      </c>
      <c r="D7" s="35">
        <f>E7/65535</f>
        <v>1</v>
      </c>
      <c r="E7" s="36">
        <v>65535</v>
      </c>
      <c r="F7" s="37">
        <v>65535</v>
      </c>
      <c r="G7" s="36">
        <f>D7*$H$3</f>
        <v>3440</v>
      </c>
      <c r="H7" s="36" t="str">
        <f>IF(H$2&lt;16/9,F7,"")</f>
        <v/>
      </c>
      <c r="I7" s="38" t="str">
        <f>IF(H$2&lt;16/9,G7,"")</f>
        <v/>
      </c>
    </row>
    <row r="8" spans="1:16" ht="15.75" x14ac:dyDescent="0.2">
      <c r="A8" s="33" t="s">
        <v>13</v>
      </c>
      <c r="B8" s="103"/>
      <c r="C8" s="39" t="s">
        <v>8</v>
      </c>
      <c r="D8" s="40">
        <f>E8/65535</f>
        <v>1</v>
      </c>
      <c r="E8" s="33">
        <v>65535</v>
      </c>
      <c r="F8" s="41">
        <v>65535</v>
      </c>
      <c r="G8" s="33">
        <f>D8*$H$4</f>
        <v>1440</v>
      </c>
      <c r="H8" s="33" t="str">
        <f>IF(H$2&lt;16/9,F8,"")</f>
        <v/>
      </c>
      <c r="I8" s="42" t="str">
        <f>IF(H$2&lt;16/9,G8,"")</f>
        <v/>
      </c>
    </row>
    <row r="9" spans="1:16" ht="15.75" x14ac:dyDescent="0.2">
      <c r="A9" s="43" t="s">
        <v>9</v>
      </c>
      <c r="B9" s="44"/>
      <c r="C9" s="44"/>
      <c r="D9" s="45"/>
      <c r="E9" s="46"/>
      <c r="F9" s="47"/>
      <c r="G9" s="48"/>
      <c r="H9" s="43"/>
      <c r="I9" s="49"/>
    </row>
    <row r="10" spans="1:16" ht="15.75" x14ac:dyDescent="0.2">
      <c r="A10" s="99" t="s">
        <v>36</v>
      </c>
      <c r="B10" s="103" t="s">
        <v>22</v>
      </c>
      <c r="C10" s="34" t="s">
        <v>7</v>
      </c>
      <c r="D10" s="35">
        <f t="shared" ref="D10:D41" si="0">E10/65535</f>
        <v>0.5</v>
      </c>
      <c r="E10" s="50">
        <f>0.5*E7</f>
        <v>32767.5</v>
      </c>
      <c r="F10" s="51">
        <f>0.5*F7</f>
        <v>32767.5</v>
      </c>
      <c r="G10" s="36">
        <f>D10*$H$3</f>
        <v>1720</v>
      </c>
      <c r="H10" s="50" t="str">
        <f>IF(H$2&lt;16/9,F10,"")</f>
        <v/>
      </c>
      <c r="I10" s="38" t="str">
        <f>IF(H$2&lt;16/9,G10,"")</f>
        <v/>
      </c>
      <c r="L10" s="89">
        <f>$L$4/2-$L$5/9*(8-E10/65535*16)+$L$2</f>
        <v>2272</v>
      </c>
      <c r="N10" s="89">
        <f>E10/65535*$N$4+$N$2</f>
        <v>2272</v>
      </c>
      <c r="P10" s="89">
        <f>L10-N10</f>
        <v>0</v>
      </c>
    </row>
    <row r="11" spans="1:16" ht="15.75" x14ac:dyDescent="0.2">
      <c r="A11" s="99"/>
      <c r="B11" s="103"/>
      <c r="C11" s="39" t="s">
        <v>8</v>
      </c>
      <c r="D11" s="52">
        <f t="shared" si="0"/>
        <v>0.5</v>
      </c>
      <c r="E11" s="53">
        <f>0.5*E8</f>
        <v>32767.5</v>
      </c>
      <c r="F11" s="54">
        <f>0.5*F8</f>
        <v>32767.5</v>
      </c>
      <c r="G11" s="33">
        <f>D11*$H$4</f>
        <v>720</v>
      </c>
      <c r="H11" s="53" t="str">
        <f>IF(H$2&lt;16/9,F11,"")</f>
        <v/>
      </c>
      <c r="I11" s="42" t="str">
        <f>IF(H$2&lt;16/9,G11,"")</f>
        <v/>
      </c>
      <c r="L11" s="89">
        <f>E11/65535*$L$5+$L$3</f>
        <v>635.5</v>
      </c>
      <c r="N11" s="89">
        <f>E11/65535*$N$5+$N$3</f>
        <v>635.5</v>
      </c>
      <c r="P11" s="89">
        <f t="shared" ref="P11:P73" si="1">L11-N11</f>
        <v>0</v>
      </c>
    </row>
    <row r="12" spans="1:16" ht="15.75" x14ac:dyDescent="0.2">
      <c r="A12" s="99" t="s">
        <v>45</v>
      </c>
      <c r="B12" s="103" t="s">
        <v>63</v>
      </c>
      <c r="C12" s="34" t="s">
        <v>7</v>
      </c>
      <c r="D12" s="35">
        <f t="shared" si="0"/>
        <v>0.31787594415197984</v>
      </c>
      <c r="E12" s="36">
        <v>20832</v>
      </c>
      <c r="F12" s="51">
        <f>(H$3/2-H$4/9*(8-E12/65535*16))*65535/H$3</f>
        <v>23885.267441860462</v>
      </c>
      <c r="G12" s="55">
        <f>H$3/2-H$4/9*(8-E12/65535*16)</f>
        <v>1253.7624170290683</v>
      </c>
      <c r="H12" s="50" t="str">
        <f>IF(H$2&lt;16/9,E12,"")</f>
        <v/>
      </c>
      <c r="I12" s="56" t="str">
        <f>IF(H$2&lt;16/9,D12*H$3,"")</f>
        <v/>
      </c>
      <c r="L12" s="89">
        <f t="shared" ref="L12" si="2">$L$4/2-$L$5/9*(8-E12/65535*16)+$L$2</f>
        <v>1921.9980366725158</v>
      </c>
      <c r="N12" s="89">
        <f t="shared" ref="N12" si="3">E12/65535*$N$4+$N$2</f>
        <v>1934.7062485694667</v>
      </c>
      <c r="P12" s="89">
        <f t="shared" si="1"/>
        <v>-12.708211896950843</v>
      </c>
    </row>
    <row r="13" spans="1:16" ht="15.75" x14ac:dyDescent="0.2">
      <c r="A13" s="99"/>
      <c r="B13" s="103"/>
      <c r="C13" s="39" t="s">
        <v>8</v>
      </c>
      <c r="D13" s="52">
        <f t="shared" si="0"/>
        <v>0.10376134889753567</v>
      </c>
      <c r="E13" s="33">
        <v>6800</v>
      </c>
      <c r="F13" s="54">
        <f>E13</f>
        <v>6800</v>
      </c>
      <c r="G13" s="53">
        <f>D13*$H$4</f>
        <v>149.41634241245137</v>
      </c>
      <c r="H13" s="53" t="str">
        <f>IF(H$2&lt;16/9,(18*H$3*E13+(16*H$4-9*H$3)*65535)/(32*H$4),"")</f>
        <v/>
      </c>
      <c r="I13" s="57" t="str">
        <f>IF(H$2&lt;16/9,(18*H$3*E13+(16*H$4-9*H$3)*65535)/(32*65535),"")</f>
        <v/>
      </c>
      <c r="L13" s="89">
        <f t="shared" ref="L13" si="4">E13/65535*$L$5+$L$3</f>
        <v>207.16601815823606</v>
      </c>
      <c r="N13" s="89">
        <f t="shared" ref="N13" si="5">E13/65535*$N$5+$N$3</f>
        <v>207.16601815823606</v>
      </c>
      <c r="P13" s="89">
        <f t="shared" si="1"/>
        <v>0</v>
      </c>
    </row>
    <row r="14" spans="1:16" ht="15.75" x14ac:dyDescent="0.2">
      <c r="A14" s="99" t="s">
        <v>46</v>
      </c>
      <c r="B14" s="103"/>
      <c r="C14" s="34" t="s">
        <v>7</v>
      </c>
      <c r="D14" s="35">
        <f t="shared" si="0"/>
        <v>0.4366826886396582</v>
      </c>
      <c r="E14" s="36">
        <v>28618</v>
      </c>
      <c r="F14" s="51">
        <f>(H$3/2-H$4/9*(8-E14/65535*16))*65535/H$3</f>
        <v>29679.500000000004</v>
      </c>
      <c r="G14" s="55">
        <f>H$3/2-H$4/9*(8-E14/65535*16)</f>
        <v>1557.9076829175251</v>
      </c>
      <c r="H14" s="50" t="str">
        <f>IF(H$2&lt;16/9,E14,"")</f>
        <v/>
      </c>
      <c r="I14" s="56" t="str">
        <f>IF(H$2&lt;16/9,D14*H$3,"")</f>
        <v/>
      </c>
      <c r="L14" s="89">
        <f t="shared" ref="L14" si="6">$L$4/2-$L$5/9*(8-E14/65535*16)+$L$2</f>
        <v>2150.3181980790587</v>
      </c>
      <c r="N14" s="89">
        <f t="shared" ref="N14" si="7">E14/65535*$N$4+$N$2</f>
        <v>2154.736339360647</v>
      </c>
      <c r="P14" s="89">
        <f t="shared" si="1"/>
        <v>-4.418141281588305</v>
      </c>
    </row>
    <row r="15" spans="1:16" ht="15.75" x14ac:dyDescent="0.2">
      <c r="A15" s="99"/>
      <c r="B15" s="103"/>
      <c r="C15" s="39" t="s">
        <v>8</v>
      </c>
      <c r="D15" s="52">
        <f t="shared" si="0"/>
        <v>0.10376134889753567</v>
      </c>
      <c r="E15" s="33">
        <v>6800</v>
      </c>
      <c r="F15" s="54">
        <f>E15</f>
        <v>6800</v>
      </c>
      <c r="G15" s="53">
        <f>D15*$H$4</f>
        <v>149.41634241245137</v>
      </c>
      <c r="H15" s="53" t="str">
        <f>IF(H$2&lt;16/9,(18*H$3*E15+(16*H$4-9*H$3)*65535)/(32*H$4),"")</f>
        <v/>
      </c>
      <c r="I15" s="57" t="str">
        <f>IF(H$2&lt;16/9,(18*H$3*E15+(16*H$4-9*H$3)*65535)/(32*65535),"")</f>
        <v/>
      </c>
      <c r="L15" s="89">
        <f t="shared" ref="L15" si="8">E15/65535*$L$5+$L$3</f>
        <v>207.16601815823606</v>
      </c>
      <c r="N15" s="89">
        <f t="shared" ref="N15" si="9">E15/65535*$N$5+$N$3</f>
        <v>207.16601815823606</v>
      </c>
      <c r="P15" s="89">
        <f t="shared" si="1"/>
        <v>0</v>
      </c>
    </row>
    <row r="16" spans="1:16" ht="15.75" x14ac:dyDescent="0.2">
      <c r="A16" s="99" t="s">
        <v>47</v>
      </c>
      <c r="B16" s="103"/>
      <c r="C16" s="34" t="s">
        <v>7</v>
      </c>
      <c r="D16" s="35">
        <f t="shared" si="0"/>
        <v>0.55809872587167164</v>
      </c>
      <c r="E16" s="36">
        <v>36575</v>
      </c>
      <c r="F16" s="51">
        <f>(H$3/2-H$4/9*(8-E16/65535*16))*65535/H$3</f>
        <v>35600.988372093023</v>
      </c>
      <c r="G16" s="55">
        <f>H$3/2-H$4/9*(8-E16/65535*16)</f>
        <v>1868.7327382314793</v>
      </c>
      <c r="H16" s="50" t="str">
        <f>IF(H$2&lt;16/9,E16,"")</f>
        <v/>
      </c>
      <c r="I16" s="56" t="str">
        <f>IF(H$2&lt;16/9,D16*H$3,"")</f>
        <v/>
      </c>
      <c r="L16" s="89">
        <f t="shared" ref="L16" si="10">$L$4/2-$L$5/9*(8-E16/65535*16)+$L$2</f>
        <v>2383.6528402973813</v>
      </c>
      <c r="N16" s="89">
        <f t="shared" ref="N16" si="11">E16/65535*$N$4+$N$2</f>
        <v>2379.5988403143356</v>
      </c>
      <c r="P16" s="89">
        <f t="shared" si="1"/>
        <v>4.0539999830457418</v>
      </c>
    </row>
    <row r="17" spans="1:16" ht="15.75" x14ac:dyDescent="0.2">
      <c r="A17" s="99"/>
      <c r="B17" s="103"/>
      <c r="C17" s="39" t="s">
        <v>8</v>
      </c>
      <c r="D17" s="52">
        <f t="shared" si="0"/>
        <v>0.10376134889753567</v>
      </c>
      <c r="E17" s="33">
        <v>6800</v>
      </c>
      <c r="F17" s="54">
        <f>E17</f>
        <v>6800</v>
      </c>
      <c r="G17" s="53">
        <f>D17*$H$4</f>
        <v>149.41634241245137</v>
      </c>
      <c r="H17" s="53" t="str">
        <f>IF(H$2&lt;16/9,(18*H$3*E17+(16*H$4-9*H$3)*65535)/(32*H$4),"")</f>
        <v/>
      </c>
      <c r="I17" s="57" t="str">
        <f>IF(H$2&lt;16/9,(18*H$3*E17+(16*H$4-9*H$3)*65535)/(32*65535),"")</f>
        <v/>
      </c>
      <c r="L17" s="89">
        <f t="shared" ref="L17" si="12">E17/65535*$L$5+$L$3</f>
        <v>207.16601815823606</v>
      </c>
      <c r="N17" s="89">
        <f t="shared" ref="N17" si="13">E17/65535*$N$5+$N$3</f>
        <v>207.16601815823606</v>
      </c>
      <c r="P17" s="89">
        <f t="shared" si="1"/>
        <v>0</v>
      </c>
    </row>
    <row r="18" spans="1:16" ht="15.75" x14ac:dyDescent="0.2">
      <c r="A18" s="99" t="s">
        <v>48</v>
      </c>
      <c r="B18" s="103"/>
      <c r="C18" s="34" t="s">
        <v>7</v>
      </c>
      <c r="D18" s="35">
        <f t="shared" si="0"/>
        <v>0.68056763561455713</v>
      </c>
      <c r="E18" s="36">
        <v>44601</v>
      </c>
      <c r="F18" s="51">
        <f>(H$3/2-H$4/9*(8-E18/65535*16))*65535/H$3</f>
        <v>41573.825581395351</v>
      </c>
      <c r="G18" s="55">
        <f>H$3/2-H$4/9*(8-E18/65535*16)</f>
        <v>2182.2531471732664</v>
      </c>
      <c r="H18" s="50" t="str">
        <f>IF(H$2&lt;16/9,E18,"")</f>
        <v/>
      </c>
      <c r="I18" s="56" t="str">
        <f>IF(H$2&lt;16/9,D18*H$3,"")</f>
        <v/>
      </c>
      <c r="L18" s="89">
        <f t="shared" ref="L18" si="14">$L$4/2-$L$5/9*(8-E18/65535*16)+$L$2</f>
        <v>2619.0108695099311</v>
      </c>
      <c r="N18" s="89">
        <f t="shared" ref="N18" si="15">E18/65535*$N$4+$N$2</f>
        <v>2606.4112611581595</v>
      </c>
      <c r="P18" s="89">
        <f t="shared" si="1"/>
        <v>12.599608351771622</v>
      </c>
    </row>
    <row r="19" spans="1:16" ht="15.75" x14ac:dyDescent="0.2">
      <c r="A19" s="99"/>
      <c r="B19" s="103"/>
      <c r="C19" s="39" t="s">
        <v>8</v>
      </c>
      <c r="D19" s="52">
        <f t="shared" si="0"/>
        <v>0.10376134889753567</v>
      </c>
      <c r="E19" s="33">
        <v>6800</v>
      </c>
      <c r="F19" s="54">
        <f>E19</f>
        <v>6800</v>
      </c>
      <c r="G19" s="53">
        <f>D19*$H$4</f>
        <v>149.41634241245137</v>
      </c>
      <c r="H19" s="53" t="str">
        <f>IF(H$2&lt;16/9,(18*H$3*E19+(16*H$4-9*H$3)*65535)/(32*H$4),"")</f>
        <v/>
      </c>
      <c r="I19" s="57" t="str">
        <f>IF(H$2&lt;16/9,(18*H$3*E19+(16*H$4-9*H$3)*65535)/(32*65535),"")</f>
        <v/>
      </c>
      <c r="L19" s="89">
        <f t="shared" ref="L19" si="16">E19/65535*$L$5+$L$3</f>
        <v>207.16601815823606</v>
      </c>
      <c r="N19" s="89">
        <f t="shared" ref="N19" si="17">E19/65535*$N$5+$N$3</f>
        <v>207.16601815823606</v>
      </c>
      <c r="P19" s="89">
        <f t="shared" si="1"/>
        <v>0</v>
      </c>
    </row>
    <row r="20" spans="1:16" ht="15.75" customHeight="1" x14ac:dyDescent="0.2">
      <c r="A20" s="100" t="s">
        <v>57</v>
      </c>
      <c r="B20" s="103" t="s">
        <v>64</v>
      </c>
      <c r="C20" s="34" t="s">
        <v>7</v>
      </c>
      <c r="D20" s="35">
        <f t="shared" si="0"/>
        <v>0.66376745250629432</v>
      </c>
      <c r="E20" s="36">
        <v>43500</v>
      </c>
      <c r="F20" s="51">
        <f>(H$3/2-H$4/9*(8-E20/65535*16))*65535/H$3</f>
        <v>40754.476744186046</v>
      </c>
      <c r="G20" s="55">
        <f>H$3/2-H$4/9*(8-E20/65535*16)</f>
        <v>2139.2446784161134</v>
      </c>
      <c r="H20" s="50" t="str">
        <f>IF(H$2&lt;16/9,E20,"")</f>
        <v/>
      </c>
      <c r="I20" s="56" t="str">
        <f>IF(H$2&lt;16/9,D20*H$3,"")</f>
        <v/>
      </c>
      <c r="L20" s="89">
        <f t="shared" ref="L20" si="18">$L$4/2-$L$5/9*(8-E20/65535*16)+$L$2</f>
        <v>2586.7246509498741</v>
      </c>
      <c r="N20" s="89">
        <f t="shared" ref="N20" si="19">E20/65535*$N$4+$N$2</f>
        <v>2575.297322041657</v>
      </c>
      <c r="P20" s="89">
        <f t="shared" si="1"/>
        <v>11.427328908217078</v>
      </c>
    </row>
    <row r="21" spans="1:16" ht="15.75" x14ac:dyDescent="0.2">
      <c r="A21" s="100"/>
      <c r="B21" s="103"/>
      <c r="C21" s="39" t="s">
        <v>8</v>
      </c>
      <c r="D21" s="52">
        <f t="shared" si="0"/>
        <v>0.56719310292210268</v>
      </c>
      <c r="E21" s="33">
        <v>37171</v>
      </c>
      <c r="F21" s="54">
        <f>E21</f>
        <v>37171</v>
      </c>
      <c r="G21" s="53">
        <f>D21*$H$4</f>
        <v>816.75806820782782</v>
      </c>
      <c r="H21" s="53" t="str">
        <f>IF(H$2&lt;16/9,(18*H$3*E21+(16*H$4-9*H$3)*65535)/(32*H$4),"")</f>
        <v/>
      </c>
      <c r="I21" s="57" t="str">
        <f>IF(H$2&lt;16/9,(18*H$3*E21+(16*H$4-9*H$3)*65535)/(32*65535),"")</f>
        <v/>
      </c>
      <c r="L21" s="89">
        <f t="shared" ref="L21" si="20">E21/65535*$L$5+$L$3</f>
        <v>708.13574425879301</v>
      </c>
      <c r="N21" s="89">
        <f t="shared" ref="N21" si="21">E21/65535*$N$5+$N$3</f>
        <v>708.13574425879301</v>
      </c>
      <c r="P21" s="89">
        <f t="shared" si="1"/>
        <v>0</v>
      </c>
    </row>
    <row r="22" spans="1:16" ht="15.75" x14ac:dyDescent="0.2">
      <c r="A22" s="100" t="s">
        <v>58</v>
      </c>
      <c r="B22" s="103"/>
      <c r="C22" s="34" t="s">
        <v>7</v>
      </c>
      <c r="D22" s="35">
        <f t="shared" si="0"/>
        <v>0.66376745250629432</v>
      </c>
      <c r="E22" s="36">
        <v>43500</v>
      </c>
      <c r="F22" s="51">
        <f>(H$3/2-H$4/9*(8-E22/65535*16))*65535/H$3</f>
        <v>40754.476744186046</v>
      </c>
      <c r="G22" s="55">
        <f>H$3/2-H$4/9*(8-E22/65535*16)</f>
        <v>2139.2446784161134</v>
      </c>
      <c r="H22" s="50" t="str">
        <f>IF(H$2&lt;16/9,E22,"")</f>
        <v/>
      </c>
      <c r="I22" s="56" t="str">
        <f>IF(H$2&lt;16/9,D22*H$3,"")</f>
        <v/>
      </c>
      <c r="L22" s="89">
        <f t="shared" ref="L22" si="22">$L$4/2-$L$5/9*(8-E22/65535*16)+$L$2</f>
        <v>2586.7246509498741</v>
      </c>
      <c r="N22" s="89">
        <f t="shared" ref="N22" si="23">E22/65535*$N$4+$N$2</f>
        <v>2575.297322041657</v>
      </c>
      <c r="P22" s="89">
        <f t="shared" si="1"/>
        <v>11.427328908217078</v>
      </c>
    </row>
    <row r="23" spans="1:16" ht="15.75" x14ac:dyDescent="0.2">
      <c r="A23" s="100"/>
      <c r="B23" s="103"/>
      <c r="C23" s="39" t="s">
        <v>8</v>
      </c>
      <c r="D23" s="52">
        <f t="shared" si="0"/>
        <v>0.48099488822766462</v>
      </c>
      <c r="E23" s="33">
        <v>31522</v>
      </c>
      <c r="F23" s="54">
        <f>E23</f>
        <v>31522</v>
      </c>
      <c r="G23" s="53">
        <f>D23*$H$4</f>
        <v>692.63263904783707</v>
      </c>
      <c r="H23" s="53" t="str">
        <f>IF(H$2&lt;16/9,(18*H$3*E23+(16*H$4-9*H$3)*65535)/(32*H$4),"")</f>
        <v/>
      </c>
      <c r="I23" s="57" t="str">
        <f>IF(H$2&lt;16/9,(18*H$3*E23+(16*H$4-9*H$3)*65535)/(32*65535),"")</f>
        <v/>
      </c>
      <c r="L23" s="89">
        <f t="shared" ref="L23" si="24">E23/65535*$L$5+$L$3</f>
        <v>614.95547417410546</v>
      </c>
      <c r="N23" s="89">
        <f t="shared" ref="N23" si="25">E23/65535*$N$5+$N$3</f>
        <v>614.95547417410546</v>
      </c>
      <c r="P23" s="89">
        <f t="shared" si="1"/>
        <v>0</v>
      </c>
    </row>
    <row r="24" spans="1:16" ht="15.75" x14ac:dyDescent="0.2">
      <c r="A24" s="100" t="s">
        <v>59</v>
      </c>
      <c r="B24" s="103"/>
      <c r="C24" s="34" t="s">
        <v>7</v>
      </c>
      <c r="D24" s="35">
        <f t="shared" si="0"/>
        <v>0.66376745250629432</v>
      </c>
      <c r="E24" s="36">
        <v>43500</v>
      </c>
      <c r="F24" s="51">
        <f>(H$3/2-H$4/9*(8-E24/65535*16))*65535/H$3</f>
        <v>40754.476744186046</v>
      </c>
      <c r="G24" s="55">
        <f>H$3/2-H$4/9*(8-E24/65535*16)</f>
        <v>2139.2446784161134</v>
      </c>
      <c r="H24" s="50" t="str">
        <f>IF(H$2&lt;16/9,E24,"")</f>
        <v/>
      </c>
      <c r="I24" s="56" t="str">
        <f>IF(H$2&lt;16/9,D24*H$3,"")</f>
        <v/>
      </c>
      <c r="L24" s="89">
        <f t="shared" ref="L24" si="26">$L$4/2-$L$5/9*(8-E24/65535*16)+$L$2</f>
        <v>2586.7246509498741</v>
      </c>
      <c r="N24" s="89">
        <f t="shared" ref="N24" si="27">E24/65535*$N$4+$N$2</f>
        <v>2575.297322041657</v>
      </c>
      <c r="P24" s="89">
        <f t="shared" si="1"/>
        <v>11.427328908217078</v>
      </c>
    </row>
    <row r="25" spans="1:16" ht="15.75" x14ac:dyDescent="0.2">
      <c r="A25" s="100"/>
      <c r="B25" s="103"/>
      <c r="C25" s="39" t="s">
        <v>8</v>
      </c>
      <c r="D25" s="52">
        <f t="shared" si="0"/>
        <v>0.39758907454032194</v>
      </c>
      <c r="E25" s="33">
        <v>26056</v>
      </c>
      <c r="F25" s="54">
        <f>E25</f>
        <v>26056</v>
      </c>
      <c r="G25" s="53">
        <f>D25*$H$4</f>
        <v>572.52826733806364</v>
      </c>
      <c r="H25" s="53" t="str">
        <f>IF(H$2&lt;16/9,(18*H$3*E25+(16*H$4-9*H$3)*65535)/(32*H$4),"")</f>
        <v/>
      </c>
      <c r="I25" s="57" t="str">
        <f>IF(H$2&lt;16/9,(18*H$3*E25+(16*H$4-9*H$3)*65535)/(32*65535),"")</f>
        <v/>
      </c>
      <c r="L25" s="89">
        <f t="shared" ref="L25" si="28">E25/65535*$L$5+$L$3</f>
        <v>524.79378957808808</v>
      </c>
      <c r="N25" s="89">
        <f t="shared" ref="N25" si="29">E25/65535*$N$5+$N$3</f>
        <v>524.79378957808808</v>
      </c>
      <c r="P25" s="89">
        <f t="shared" si="1"/>
        <v>0</v>
      </c>
    </row>
    <row r="26" spans="1:16" ht="15.75" x14ac:dyDescent="0.2">
      <c r="A26" s="100" t="s">
        <v>60</v>
      </c>
      <c r="B26" s="103"/>
      <c r="C26" s="34" t="s">
        <v>7</v>
      </c>
      <c r="D26" s="35">
        <f t="shared" si="0"/>
        <v>0.66376745250629432</v>
      </c>
      <c r="E26" s="36">
        <v>43500</v>
      </c>
      <c r="F26" s="51">
        <f>(H$3/2-H$4/9*(8-E26/65535*16))*65535/H$3</f>
        <v>40754.476744186046</v>
      </c>
      <c r="G26" s="55">
        <f>H$3/2-H$4/9*(8-E26/65535*16)</f>
        <v>2139.2446784161134</v>
      </c>
      <c r="H26" s="50" t="str">
        <f>IF(H$2&lt;16/9,E26,"")</f>
        <v/>
      </c>
      <c r="I26" s="56" t="str">
        <f>IF(H$2&lt;16/9,D26*H$3,"")</f>
        <v/>
      </c>
      <c r="L26" s="89">
        <f t="shared" ref="L26" si="30">$L$4/2-$L$5/9*(8-E26/65535*16)+$L$2</f>
        <v>2586.7246509498741</v>
      </c>
      <c r="N26" s="89">
        <f t="shared" ref="N26" si="31">E26/65535*$N$4+$N$2</f>
        <v>2575.297322041657</v>
      </c>
      <c r="P26" s="89">
        <f t="shared" si="1"/>
        <v>11.427328908217078</v>
      </c>
    </row>
    <row r="27" spans="1:16" ht="15.75" x14ac:dyDescent="0.2">
      <c r="A27" s="100"/>
      <c r="B27" s="103"/>
      <c r="C27" s="39" t="s">
        <v>8</v>
      </c>
      <c r="D27" s="52">
        <f t="shared" si="0"/>
        <v>0.3104753185320821</v>
      </c>
      <c r="E27" s="33">
        <v>20347</v>
      </c>
      <c r="F27" s="54">
        <f>E27</f>
        <v>20347</v>
      </c>
      <c r="G27" s="53">
        <f>D27*$H$4</f>
        <v>447.08445868619822</v>
      </c>
      <c r="H27" s="53" t="str">
        <f>IF(H$2&lt;16/9,(18*H$3*E27+(16*H$4-9*H$3)*65535)/(32*H$4),"")</f>
        <v/>
      </c>
      <c r="I27" s="57" t="str">
        <f>IF(H$2&lt;16/9,(18*H$3*E27+(16*H$4-9*H$3)*65535)/(32*65535),"")</f>
        <v/>
      </c>
      <c r="L27" s="89">
        <f t="shared" ref="L27" si="32">E27/65535*$L$5+$L$3</f>
        <v>430.62381933318073</v>
      </c>
      <c r="N27" s="89">
        <f t="shared" ref="N27" si="33">E27/65535*$N$5+$N$3</f>
        <v>430.62381933318073</v>
      </c>
      <c r="P27" s="89">
        <f t="shared" si="1"/>
        <v>0</v>
      </c>
    </row>
    <row r="28" spans="1:16" ht="15.75" x14ac:dyDescent="0.2">
      <c r="A28" s="99" t="s">
        <v>49</v>
      </c>
      <c r="B28" s="103" t="s">
        <v>65</v>
      </c>
      <c r="C28" s="34" t="s">
        <v>7</v>
      </c>
      <c r="D28" s="35">
        <f t="shared" si="0"/>
        <v>0.50078583962767986</v>
      </c>
      <c r="E28" s="36">
        <v>32819</v>
      </c>
      <c r="F28" s="51">
        <f>(H$3/2-H$4/9*(8-E28/65535*16))*65535/H$3</f>
        <v>32805.825581395351</v>
      </c>
      <c r="G28" s="55">
        <f>H$3/2-H$4/9*(8-E28/65535*16)</f>
        <v>1722.0117494468604</v>
      </c>
      <c r="H28" s="50" t="str">
        <f>IF(H$2&lt;16/9,E28,"")</f>
        <v/>
      </c>
      <c r="I28" s="56" t="str">
        <f>IF(H$2&lt;16/9,D28*H$3,"")</f>
        <v/>
      </c>
      <c r="L28" s="89">
        <f t="shared" ref="L28" si="34">$L$4/2-$L$5/9*(8-E28/65535*16)+$L$2</f>
        <v>2273.5102091333724</v>
      </c>
      <c r="N28" s="89">
        <f t="shared" ref="N28" si="35">E28/65535*$N$4+$N$2</f>
        <v>2273.455374990463</v>
      </c>
      <c r="P28" s="89">
        <f t="shared" si="1"/>
        <v>5.4834142909385264E-2</v>
      </c>
    </row>
    <row r="29" spans="1:16" ht="15.75" x14ac:dyDescent="0.2">
      <c r="A29" s="99"/>
      <c r="B29" s="103"/>
      <c r="C29" s="39" t="s">
        <v>8</v>
      </c>
      <c r="D29" s="52">
        <f t="shared" si="0"/>
        <v>0.67933165484092473</v>
      </c>
      <c r="E29" s="33">
        <v>44520</v>
      </c>
      <c r="F29" s="54">
        <f>E29</f>
        <v>44520</v>
      </c>
      <c r="G29" s="53">
        <f>D29*$H$4</f>
        <v>978.23758297093161</v>
      </c>
      <c r="H29" s="53" t="str">
        <f>IF(H$2&lt;16/9,(18*H$3*E29+(16*H$4-9*H$3)*65535)/(32*H$4),"")</f>
        <v/>
      </c>
      <c r="I29" s="57" t="str">
        <f>IF(H$2&lt;16/9,(18*H$3*E29+(16*H$4-9*H$3)*65535)/(32*65535),"")</f>
        <v/>
      </c>
      <c r="L29" s="89">
        <f t="shared" ref="L29" si="36">E29/65535*$L$5+$L$3</f>
        <v>829.35751888303957</v>
      </c>
      <c r="N29" s="89">
        <f t="shared" ref="N29" si="37">E29/65535*$N$5+$N$3</f>
        <v>829.35751888303957</v>
      </c>
      <c r="P29" s="89">
        <f t="shared" si="1"/>
        <v>0</v>
      </c>
    </row>
    <row r="30" spans="1:16" ht="15.75" x14ac:dyDescent="0.2">
      <c r="A30" s="99" t="s">
        <v>50</v>
      </c>
      <c r="B30" s="103" t="s">
        <v>66</v>
      </c>
      <c r="C30" s="34" t="s">
        <v>7</v>
      </c>
      <c r="D30" s="35">
        <f t="shared" si="0"/>
        <v>0.43199816891737242</v>
      </c>
      <c r="E30" s="36">
        <v>28311</v>
      </c>
      <c r="F30" s="51">
        <f>(H$3/2-H$4/9*(8-E30/65535*16))*65535/H$3</f>
        <v>29451.034883720935</v>
      </c>
      <c r="G30" s="55">
        <f>H$3/2-H$4/9*(8-E30/65535*16)</f>
        <v>1545.9153124284735</v>
      </c>
      <c r="H30" s="50" t="str">
        <f>IF(H$2&lt;16/9,E30,"")</f>
        <v/>
      </c>
      <c r="I30" s="56" t="str">
        <f>IF(H$2&lt;16/9,D30*H$3,"")</f>
        <v/>
      </c>
      <c r="L30" s="89">
        <f t="shared" ref="L30" si="38">$L$4/2-$L$5/9*(8-E30/65535*16)+$L$2</f>
        <v>2141.3155921772081</v>
      </c>
      <c r="N30" s="89">
        <f t="shared" ref="N30" si="39">E30/65535*$N$4+$N$2</f>
        <v>2146.0606088349737</v>
      </c>
      <c r="P30" s="89">
        <f t="shared" si="1"/>
        <v>-4.7450166577655182</v>
      </c>
    </row>
    <row r="31" spans="1:16" ht="15.75" x14ac:dyDescent="0.2">
      <c r="A31" s="99"/>
      <c r="B31" s="103"/>
      <c r="C31" s="39" t="s">
        <v>8</v>
      </c>
      <c r="D31" s="52">
        <f t="shared" si="0"/>
        <v>0.75532158388647286</v>
      </c>
      <c r="E31" s="33">
        <v>49500</v>
      </c>
      <c r="F31" s="54">
        <f>E31</f>
        <v>49500</v>
      </c>
      <c r="G31" s="53">
        <f>D31*$H$4</f>
        <v>1087.6630807965209</v>
      </c>
      <c r="H31" s="53" t="str">
        <f>IF(H$2&lt;16/9,(18*H$3*E31+(16*H$4-9*H$3)*65535)/(32*H$4),"")</f>
        <v/>
      </c>
      <c r="I31" s="57" t="str">
        <f>IF(H$2&lt;16/9,(18*H$3*E31+(16*H$4-9*H$3)*65535)/(32*65535),"")</f>
        <v/>
      </c>
      <c r="L31" s="89">
        <f t="shared" ref="L31" si="40">E31/65535*$L$5+$L$3</f>
        <v>911.50263218127714</v>
      </c>
      <c r="N31" s="89">
        <f t="shared" ref="N31" si="41">E31/65535*$N$5+$N$3</f>
        <v>911.50263218127714</v>
      </c>
      <c r="P31" s="89">
        <f t="shared" si="1"/>
        <v>0</v>
      </c>
    </row>
    <row r="32" spans="1:16" ht="15.75" x14ac:dyDescent="0.2">
      <c r="A32" s="99" t="s">
        <v>41</v>
      </c>
      <c r="B32" s="103" t="s">
        <v>30</v>
      </c>
      <c r="C32" s="34" t="s">
        <v>7</v>
      </c>
      <c r="D32" s="35">
        <f t="shared" si="0"/>
        <v>0.38353551537346459</v>
      </c>
      <c r="E32" s="36">
        <v>25135</v>
      </c>
      <c r="F32" s="51">
        <f>(H$3/2-H$4/9*(8-E32/65535*16))*65535/H$3</f>
        <v>27087.500000000004</v>
      </c>
      <c r="G32" s="55">
        <f>H$3/2-H$4/9*(8-E32/65535*16)</f>
        <v>1421.8509193560694</v>
      </c>
      <c r="H32" s="50" t="str">
        <f>IF(H$2&lt;16/9,E32,"")</f>
        <v/>
      </c>
      <c r="I32" s="56" t="str">
        <f>IF(H$2&lt;16/9,D32*H$3,"")</f>
        <v/>
      </c>
      <c r="L32" s="89">
        <f t="shared" ref="L32" si="42">$L$4/2-$L$5/9*(8-E32/65535*16)+$L$2</f>
        <v>2048.1811415443826</v>
      </c>
      <c r="N32" s="89">
        <f t="shared" ref="N32" si="43">E32/65535*$N$4+$N$2</f>
        <v>2056.3077744716566</v>
      </c>
      <c r="P32" s="89">
        <f t="shared" si="1"/>
        <v>-8.1266329272739313</v>
      </c>
    </row>
    <row r="33" spans="1:16" ht="15.75" x14ac:dyDescent="0.2">
      <c r="A33" s="99"/>
      <c r="B33" s="103"/>
      <c r="C33" s="39" t="s">
        <v>8</v>
      </c>
      <c r="D33" s="52">
        <f t="shared" si="0"/>
        <v>0.57183184557869837</v>
      </c>
      <c r="E33" s="33">
        <v>37475</v>
      </c>
      <c r="F33" s="54">
        <f>E33</f>
        <v>37475</v>
      </c>
      <c r="G33" s="53">
        <f>D33*$H$4</f>
        <v>823.43785763332562</v>
      </c>
      <c r="H33" s="53" t="str">
        <f>IF(H$2&lt;16/9,(18*H$3*E33+(16*H$4-9*H$3)*65535)/(32*H$4),"")</f>
        <v/>
      </c>
      <c r="I33" s="57" t="str">
        <f>IF(H$2&lt;16/9,(18*H$3*E33+(16*H$4-9*H$3)*65535)/(32*65535),"")</f>
        <v/>
      </c>
      <c r="L33" s="89">
        <f t="shared" ref="L33" si="44">E33/65535*$L$5+$L$3</f>
        <v>713.1502250705729</v>
      </c>
      <c r="N33" s="89">
        <f t="shared" ref="N33" si="45">E33/65535*$N$5+$N$3</f>
        <v>713.1502250705729</v>
      </c>
      <c r="P33" s="89">
        <f t="shared" si="1"/>
        <v>0</v>
      </c>
    </row>
    <row r="34" spans="1:16" ht="15.75" x14ac:dyDescent="0.2">
      <c r="A34" s="99" t="s">
        <v>42</v>
      </c>
      <c r="B34" s="103" t="s">
        <v>31</v>
      </c>
      <c r="C34" s="34" t="s">
        <v>7</v>
      </c>
      <c r="D34" s="35">
        <f t="shared" si="0"/>
        <v>0.52944228274967575</v>
      </c>
      <c r="E34" s="36">
        <v>34697</v>
      </c>
      <c r="F34" s="51">
        <f>(H$3/2-H$4/9*(8-E34/65535*16))*65535/H$3</f>
        <v>34203.406976744183</v>
      </c>
      <c r="G34" s="55">
        <f>H$3/2-H$4/9*(8-E34/65535*16)</f>
        <v>1795.3722438391699</v>
      </c>
      <c r="H34" s="50" t="str">
        <f>IF(H$2&lt;16/9,E34,"")</f>
        <v/>
      </c>
      <c r="I34" s="58" t="str">
        <f>IF(H$2&lt;16/9,D34*H$3,"")</f>
        <v/>
      </c>
      <c r="L34" s="89">
        <f t="shared" ref="L34" si="46">$L$4/2-$L$5/9*(8-E34/65535*16)+$L$2</f>
        <v>2328.5815247153769</v>
      </c>
      <c r="N34" s="89">
        <f t="shared" ref="N34" si="47">E34/65535*$N$4+$N$2</f>
        <v>2326.5271076523995</v>
      </c>
      <c r="P34" s="89">
        <f t="shared" si="1"/>
        <v>2.0544170629773362</v>
      </c>
    </row>
    <row r="35" spans="1:16" ht="15.75" x14ac:dyDescent="0.2">
      <c r="A35" s="99"/>
      <c r="B35" s="103"/>
      <c r="C35" s="39" t="s">
        <v>8</v>
      </c>
      <c r="D35" s="52">
        <f t="shared" si="0"/>
        <v>0.44763866636148625</v>
      </c>
      <c r="E35" s="33">
        <v>29336</v>
      </c>
      <c r="F35" s="54">
        <f>E35</f>
        <v>29336</v>
      </c>
      <c r="G35" s="53">
        <f>D35*$H$4</f>
        <v>644.59967956054015</v>
      </c>
      <c r="H35" s="53" t="str">
        <f>IF(H$2&lt;16/9,(18*H$3*E35+(16*H$4-9*H$3)*65535)/(32*H$4),"")</f>
        <v/>
      </c>
      <c r="I35" s="59" t="str">
        <f>IF(H$2&lt;16/9,(18*H$3*E35+(16*H$4-9*H$3)*65535)/(32*65535),"")</f>
        <v/>
      </c>
      <c r="L35" s="89">
        <f t="shared" ref="L35" si="48">E35/65535*$L$5+$L$3</f>
        <v>578.89739833676663</v>
      </c>
      <c r="N35" s="89">
        <f t="shared" ref="N35" si="49">E35/65535*$N$5+$N$3</f>
        <v>578.89739833676663</v>
      </c>
      <c r="P35" s="89">
        <f t="shared" si="1"/>
        <v>0</v>
      </c>
    </row>
    <row r="36" spans="1:16" ht="15.75" x14ac:dyDescent="0.2">
      <c r="A36" s="95" t="s">
        <v>43</v>
      </c>
      <c r="B36" s="96" t="s">
        <v>32</v>
      </c>
      <c r="C36" s="60" t="s">
        <v>7</v>
      </c>
      <c r="D36" s="61">
        <f t="shared" si="0"/>
        <v>0.56592660410467688</v>
      </c>
      <c r="E36" s="62">
        <v>37088</v>
      </c>
      <c r="F36" s="63">
        <f>(H$3/2-H$4/9*(8-E36/65535*16))*65535/H$3</f>
        <v>35982.755813953481</v>
      </c>
      <c r="G36" s="64">
        <f>H$3/2-H$4/9*(8-E36/65535*16)</f>
        <v>1888.7721065079727</v>
      </c>
      <c r="H36" s="50" t="str">
        <f>IF(H$2&lt;16/9,E36,"")</f>
        <v/>
      </c>
      <c r="I36" s="58" t="str">
        <f>IF(H$2&lt;16/9,D36*H$3,"")</f>
        <v/>
      </c>
      <c r="L36" s="89">
        <f t="shared" ref="L36" si="50">$L$4/2-$L$5/9*(8-E36/65535*16)+$L$2</f>
        <v>2398.6962827327216</v>
      </c>
      <c r="N36" s="89">
        <f t="shared" ref="N36" si="51">E36/65535*$N$4+$N$2</f>
        <v>2394.0960708018615</v>
      </c>
      <c r="P36" s="89">
        <f t="shared" si="1"/>
        <v>4.6002119308600413</v>
      </c>
    </row>
    <row r="37" spans="1:16" ht="15.75" x14ac:dyDescent="0.2">
      <c r="A37" s="95"/>
      <c r="B37" s="96"/>
      <c r="C37" s="65" t="s">
        <v>8</v>
      </c>
      <c r="D37" s="66">
        <f t="shared" si="0"/>
        <v>0.48007934691386284</v>
      </c>
      <c r="E37" s="67">
        <v>31462</v>
      </c>
      <c r="F37" s="68">
        <f>E37</f>
        <v>31462</v>
      </c>
      <c r="G37" s="69">
        <f>D37*$H$4</f>
        <v>691.31425955596251</v>
      </c>
      <c r="H37" s="53" t="str">
        <f>IF(H$2&lt;16/9,(18*H$3*E37+(16*H$4-9*H$3)*65535)/(32*H$4),"")</f>
        <v/>
      </c>
      <c r="I37" s="59" t="str">
        <f>IF(H$2&lt;16/9,(18*H$3*E37+(16*H$4-9*H$3)*65535)/(32*65535),"")</f>
        <v/>
      </c>
      <c r="L37" s="89">
        <f t="shared" ref="L37" si="52">E37/65535*$L$5+$L$3</f>
        <v>613.96577401388572</v>
      </c>
      <c r="N37" s="89">
        <f t="shared" ref="N37" si="53">E37/65535*$N$5+$N$3</f>
        <v>613.96577401388572</v>
      </c>
      <c r="P37" s="89">
        <f t="shared" si="1"/>
        <v>0</v>
      </c>
    </row>
    <row r="38" spans="1:16" ht="15.75" x14ac:dyDescent="0.2">
      <c r="A38" s="95" t="s">
        <v>44</v>
      </c>
      <c r="B38" s="96" t="s">
        <v>33</v>
      </c>
      <c r="C38" s="60" t="s">
        <v>7</v>
      </c>
      <c r="D38" s="61">
        <f t="shared" si="0"/>
        <v>0.53986419470511937</v>
      </c>
      <c r="E38" s="62">
        <v>35380</v>
      </c>
      <c r="F38" s="63">
        <f>(H$3/2-H$4/9*(8-E38/65535*16))*65535/H$3</f>
        <v>34711.686046511626</v>
      </c>
      <c r="G38" s="64">
        <f>H$3/2-H$4/9*(8-E38/65535*16)</f>
        <v>1822.0523384451055</v>
      </c>
      <c r="H38" s="50" t="str">
        <f>IF(H$2&lt;16/9,E38,"")</f>
        <v/>
      </c>
      <c r="I38" s="58" t="str">
        <f>IF(H$2&lt;16/9,D38*H$3,"")</f>
        <v/>
      </c>
      <c r="L38" s="89">
        <f t="shared" ref="L38" si="54">$L$4/2-$L$5/9*(8-E38/65535*16)+$L$2</f>
        <v>2348.6101235133051</v>
      </c>
      <c r="N38" s="89">
        <f t="shared" ref="N38" si="55">E38/65535*$N$4+$N$2</f>
        <v>2345.828488593881</v>
      </c>
      <c r="P38" s="89">
        <f t="shared" si="1"/>
        <v>2.7816349194240502</v>
      </c>
    </row>
    <row r="39" spans="1:16" ht="15.75" x14ac:dyDescent="0.2">
      <c r="A39" s="95"/>
      <c r="B39" s="96"/>
      <c r="C39" s="65" t="s">
        <v>8</v>
      </c>
      <c r="D39" s="66">
        <f t="shared" si="0"/>
        <v>0.72660410467689018</v>
      </c>
      <c r="E39" s="67">
        <v>47618</v>
      </c>
      <c r="F39" s="68">
        <f>E39</f>
        <v>47618</v>
      </c>
      <c r="G39" s="69">
        <f>D39*$H$4</f>
        <v>1046.3099107347218</v>
      </c>
      <c r="H39" s="53" t="str">
        <f>IF(H$2&lt;16/9,(18*H$3*E39+(16*H$4-9*H$3)*65535)/(32*H$4),"")</f>
        <v/>
      </c>
      <c r="I39" s="59" t="str">
        <f>IF(H$2&lt;16/9,(18*H$3*E39+(16*H$4-9*H$3)*65535)/(32*65535),"")</f>
        <v/>
      </c>
      <c r="L39" s="89">
        <f t="shared" ref="L39" si="56">E39/65535*$L$5+$L$3</f>
        <v>880.45903715571831</v>
      </c>
      <c r="N39" s="89">
        <f t="shared" ref="N39" si="57">E39/65535*$N$5+$N$3</f>
        <v>880.45903715571831</v>
      </c>
      <c r="P39" s="89">
        <f t="shared" si="1"/>
        <v>0</v>
      </c>
    </row>
    <row r="40" spans="1:16" ht="15.75" x14ac:dyDescent="0.2">
      <c r="A40" s="95" t="s">
        <v>75</v>
      </c>
      <c r="B40" s="96" t="s">
        <v>76</v>
      </c>
      <c r="C40" s="60" t="s">
        <v>7</v>
      </c>
      <c r="D40" s="61">
        <f t="shared" si="0"/>
        <v>0.442572671091783</v>
      </c>
      <c r="E40" s="62">
        <v>29004</v>
      </c>
      <c r="F40" s="63">
        <f>(H$3/2-H$4/9*(8-E40/65535*16))*65535/H$3</f>
        <v>29966.755813953489</v>
      </c>
      <c r="G40" s="64">
        <f>H$3/2-H$4/9*(8-E40/65535*16)</f>
        <v>1572.9860379949646</v>
      </c>
      <c r="H40" s="50" t="str">
        <f>IF(H$2&lt;16/9,E40,"")</f>
        <v/>
      </c>
      <c r="I40" s="58" t="str">
        <f>IF(H$2&lt;16/9,D40*H$3,"")</f>
        <v/>
      </c>
      <c r="L40" s="89">
        <f t="shared" ref="L40" si="58">$L$4/2-$L$5/9*(8-E40/65535*16)+$L$2</f>
        <v>2161.6374354670534</v>
      </c>
      <c r="N40" s="89">
        <f t="shared" ref="N40" si="59">E40/65535*$N$4+$N$2</f>
        <v>2165.6445868619821</v>
      </c>
      <c r="P40" s="89">
        <f t="shared" si="1"/>
        <v>-4.0071513949287692</v>
      </c>
    </row>
    <row r="41" spans="1:16" ht="15.75" x14ac:dyDescent="0.2">
      <c r="A41" s="95"/>
      <c r="B41" s="96"/>
      <c r="C41" s="65" t="s">
        <v>8</v>
      </c>
      <c r="D41" s="66">
        <f t="shared" si="0"/>
        <v>0.60833142595559619</v>
      </c>
      <c r="E41" s="67">
        <v>39867</v>
      </c>
      <c r="F41" s="68">
        <f>E41</f>
        <v>39867</v>
      </c>
      <c r="G41" s="69">
        <f>D41*$H$4</f>
        <v>875.99725337605855</v>
      </c>
      <c r="H41" s="53" t="str">
        <f>IF(H$2&lt;16/9,(18*H$3*E41+(16*H$4-9*H$3)*65535)/(32*H$4),"")</f>
        <v/>
      </c>
      <c r="I41" s="59" t="str">
        <f>IF(H$2&lt;16/9,(18*H$3*E41+(16*H$4-9*H$3)*65535)/(32*65535),"")</f>
        <v/>
      </c>
      <c r="L41" s="89">
        <f t="shared" ref="L41" si="60">E41/65535*$L$5+$L$3</f>
        <v>752.60627145799947</v>
      </c>
      <c r="N41" s="89">
        <f t="shared" ref="N41" si="61">E41/65535*$N$5+$N$3</f>
        <v>752.60627145799947</v>
      </c>
      <c r="P41" s="89">
        <f t="shared" si="1"/>
        <v>0</v>
      </c>
    </row>
    <row r="42" spans="1:16" ht="15.75" x14ac:dyDescent="0.2">
      <c r="A42" s="95" t="s">
        <v>74</v>
      </c>
      <c r="B42" s="96" t="s">
        <v>78</v>
      </c>
      <c r="C42" s="60" t="s">
        <v>7</v>
      </c>
      <c r="D42" s="61">
        <f>E42/65535</f>
        <v>0.5</v>
      </c>
      <c r="E42" s="62">
        <f>0.5*E7</f>
        <v>32767.5</v>
      </c>
      <c r="F42" s="63">
        <f>(H$3/2-H$4/9*(8-E42/65535*16))*65535/H$3</f>
        <v>32767.5</v>
      </c>
      <c r="G42" s="64">
        <f>H$3/2-H$4/9*(8-E42/65535*16)</f>
        <v>1720</v>
      </c>
      <c r="H42" s="50" t="str">
        <f>IF(H$2&lt;16/9,E42,"")</f>
        <v/>
      </c>
      <c r="I42" s="58" t="str">
        <f>IF(H$2&lt;16/9,D42*H$3,"")</f>
        <v/>
      </c>
      <c r="L42" s="89">
        <f t="shared" ref="L42" si="62">$L$4/2-$L$5/9*(8-E42/65535*16)+$L$2</f>
        <v>2272</v>
      </c>
      <c r="N42" s="89">
        <f t="shared" ref="N42" si="63">E42/65535*$N$4+$N$2</f>
        <v>2272</v>
      </c>
      <c r="P42" s="89">
        <f t="shared" si="1"/>
        <v>0</v>
      </c>
    </row>
    <row r="43" spans="1:16" ht="15.75" x14ac:dyDescent="0.2">
      <c r="A43" s="95"/>
      <c r="B43" s="96"/>
      <c r="C43" s="65" t="s">
        <v>8</v>
      </c>
      <c r="D43" s="66">
        <f>E43/65535</f>
        <v>0.46845197222858015</v>
      </c>
      <c r="E43" s="67">
        <v>30700</v>
      </c>
      <c r="F43" s="68">
        <f>E43</f>
        <v>30700</v>
      </c>
      <c r="G43" s="69">
        <f>D43*$H$4</f>
        <v>674.5708400091554</v>
      </c>
      <c r="H43" s="53" t="str">
        <f>IF(H$2&lt;16/9,(18*H$3*E43+(16*H$4-9*H$3)*65535)/(32*H$4),"")</f>
        <v/>
      </c>
      <c r="I43" s="59" t="str">
        <f>IF(H$2&lt;16/9,(18*H$3*E43+(16*H$4-9*H$3)*65535)/(32*65535),"")</f>
        <v/>
      </c>
      <c r="L43" s="89">
        <f t="shared" ref="L43" si="64">E43/65535*$L$5+$L$3</f>
        <v>601.39658197909512</v>
      </c>
      <c r="N43" s="89">
        <f t="shared" ref="N43" si="65">E43/65535*$N$5+$N$3</f>
        <v>601.39658197909512</v>
      </c>
      <c r="P43" s="89">
        <f t="shared" si="1"/>
        <v>0</v>
      </c>
    </row>
    <row r="44" spans="1:16" ht="15.75" x14ac:dyDescent="0.2">
      <c r="A44" s="46" t="s">
        <v>10</v>
      </c>
      <c r="B44" s="46"/>
      <c r="C44" s="70"/>
      <c r="D44" s="71"/>
      <c r="E44" s="46"/>
      <c r="F44" s="72"/>
      <c r="G44" s="46"/>
      <c r="H44" s="73"/>
      <c r="I44" s="74"/>
      <c r="P44" s="89">
        <f t="shared" si="1"/>
        <v>0</v>
      </c>
    </row>
    <row r="45" spans="1:16" ht="15.75" x14ac:dyDescent="0.2">
      <c r="A45" s="95" t="s">
        <v>51</v>
      </c>
      <c r="B45" s="96" t="s">
        <v>23</v>
      </c>
      <c r="C45" s="60" t="s">
        <v>7</v>
      </c>
      <c r="D45" s="61">
        <f t="shared" ref="D45:D50" si="66">E45/65535</f>
        <v>0.74383154039826049</v>
      </c>
      <c r="E45" s="62">
        <v>48747</v>
      </c>
      <c r="F45" s="63">
        <f>(H$3-H$4/9*(16-E45/65535*16))*65535/H$3</f>
        <v>53041.604651162794</v>
      </c>
      <c r="G45" s="64">
        <f>H$3-H$4/9*(16-E45/65535*16)</f>
        <v>2784.2087434195469</v>
      </c>
      <c r="H45" s="64" t="str">
        <f>IF(H$2&lt;16/9,E45,"")</f>
        <v/>
      </c>
      <c r="I45" s="58" t="str">
        <f>IF(H$2&lt;16/9,D45*H$3,"")</f>
        <v/>
      </c>
      <c r="L45" s="89">
        <f>$L$4-$L$5/9*(16-E45/65535*16)+$L$2</f>
        <v>2705.7011469698127</v>
      </c>
      <c r="N45" s="89">
        <f t="shared" ref="N45:N49" si="67">D45*$N$4+$N$2</f>
        <v>2723.5760128175784</v>
      </c>
      <c r="P45" s="89">
        <f t="shared" si="1"/>
        <v>-17.874865847765705</v>
      </c>
    </row>
    <row r="46" spans="1:16" ht="15.75" x14ac:dyDescent="0.2">
      <c r="A46" s="95"/>
      <c r="B46" s="96"/>
      <c r="C46" s="65" t="s">
        <v>8</v>
      </c>
      <c r="D46" s="66">
        <f t="shared" si="66"/>
        <v>0.54123750667582204</v>
      </c>
      <c r="E46" s="67">
        <v>35470</v>
      </c>
      <c r="F46" s="68">
        <f>E46</f>
        <v>35470</v>
      </c>
      <c r="G46" s="69">
        <f>D46*$H$4</f>
        <v>779.38200961318375</v>
      </c>
      <c r="H46" s="69" t="str">
        <f>IF(H$2&lt;16/9,(18*H$3*E46+(16*H$4-9*H$3)*65535)/(32*H$4),"")</f>
        <v/>
      </c>
      <c r="I46" s="59" t="str">
        <f>IF(H$2&lt;16/9,(18*H$3*E46+(16*H$4-9*H$3)*65535)/(32*65535),"")</f>
        <v/>
      </c>
      <c r="L46" s="89">
        <f>E46/65535*$L$5+$L$3</f>
        <v>680.07774471656364</v>
      </c>
      <c r="N46" s="89">
        <f t="shared" ref="N46:N50" si="68">D46*$N$5+$N$3</f>
        <v>680.07774471656364</v>
      </c>
      <c r="P46" s="89">
        <f t="shared" si="1"/>
        <v>0</v>
      </c>
    </row>
    <row r="47" spans="1:16" ht="15.75" x14ac:dyDescent="0.2">
      <c r="A47" s="95" t="s">
        <v>52</v>
      </c>
      <c r="B47" s="96" t="s">
        <v>24</v>
      </c>
      <c r="C47" s="60" t="s">
        <v>1</v>
      </c>
      <c r="D47" s="61">
        <f t="shared" si="66"/>
        <v>0.98072785534447238</v>
      </c>
      <c r="E47" s="75">
        <v>64272</v>
      </c>
      <c r="F47" s="63">
        <f>(H$3-H$4/9*(16-E47/65535*16))*65535/H$3</f>
        <v>64595.093023255802</v>
      </c>
      <c r="G47" s="64">
        <f>H$3-H$4/9*(16-E47/65535*16)</f>
        <v>3390.6633096818491</v>
      </c>
      <c r="H47" s="64" t="str">
        <f>IF(H$2&lt;16/9,E47,"")</f>
        <v/>
      </c>
      <c r="I47" s="58" t="str">
        <f>IF(H$2&lt;16/9,D47*H$3,"")</f>
        <v/>
      </c>
      <c r="L47" s="89">
        <f t="shared" ref="L47" si="69">$L$4-$L$5/9*(16-E47/65535*16)+$L$2</f>
        <v>3160.9632206708884</v>
      </c>
      <c r="N47" s="89">
        <f t="shared" si="67"/>
        <v>3162.3079880979631</v>
      </c>
      <c r="P47" s="89">
        <f t="shared" si="1"/>
        <v>-1.3447674270746575</v>
      </c>
    </row>
    <row r="48" spans="1:16" ht="15.75" x14ac:dyDescent="0.2">
      <c r="A48" s="95"/>
      <c r="B48" s="96"/>
      <c r="C48" s="65" t="s">
        <v>2</v>
      </c>
      <c r="D48" s="66">
        <f t="shared" si="66"/>
        <v>0.77222858014801254</v>
      </c>
      <c r="E48" s="69">
        <v>50608</v>
      </c>
      <c r="F48" s="68">
        <f>E48</f>
        <v>50608</v>
      </c>
      <c r="G48" s="69">
        <f>D48*$H$4</f>
        <v>1112.0091554131382</v>
      </c>
      <c r="H48" s="69" t="str">
        <f>IF(H$2&lt;16/9,(18*H$3*E48+(16*H$4-9*H$3)*65535)/(32*H$4),"")</f>
        <v/>
      </c>
      <c r="I48" s="59" t="str">
        <f>IF(H$2&lt;16/9,(18*H$3*E48+(16*H$4-9*H$3)*65535)/(32*65535),"")</f>
        <v/>
      </c>
      <c r="L48" s="89">
        <f t="shared" ref="L48" si="70">E48/65535*$L$5+$L$3</f>
        <v>929.77909514000157</v>
      </c>
      <c r="N48" s="89">
        <f t="shared" si="68"/>
        <v>929.77909514000157</v>
      </c>
      <c r="P48" s="89">
        <f t="shared" si="1"/>
        <v>0</v>
      </c>
    </row>
    <row r="49" spans="1:19" ht="15.75" x14ac:dyDescent="0.2">
      <c r="A49" s="95" t="s">
        <v>73</v>
      </c>
      <c r="B49" s="96" t="s">
        <v>77</v>
      </c>
      <c r="C49" s="60" t="s">
        <v>1</v>
      </c>
      <c r="D49" s="61">
        <f t="shared" si="66"/>
        <v>0.9007400625619898</v>
      </c>
      <c r="E49" s="75">
        <v>59030</v>
      </c>
      <c r="F49" s="63">
        <f>(H$3-H$4/9*(16-E49/65535*16))*65535/H$3</f>
        <v>60694.069767441862</v>
      </c>
      <c r="G49" s="64">
        <f>H$3-H$4/9*(16-E49/65535*16)</f>
        <v>3185.8945601586938</v>
      </c>
      <c r="H49" s="64" t="str">
        <f>IF(H$2&lt;16/9,E49,"")</f>
        <v/>
      </c>
      <c r="I49" s="58" t="str">
        <f>IF(H$2&lt;16/9,D49*H$3,"")</f>
        <v/>
      </c>
      <c r="L49" s="89">
        <f t="shared" ref="L49" si="71">$L$4-$L$5/9*(16-E49/65535*16)+$L$2</f>
        <v>3007.2444580080196</v>
      </c>
      <c r="N49" s="89">
        <f t="shared" si="67"/>
        <v>3014.1705958648054</v>
      </c>
      <c r="P49" s="89">
        <f t="shared" si="1"/>
        <v>-6.9261378567857719</v>
      </c>
    </row>
    <row r="50" spans="1:19" ht="15.75" x14ac:dyDescent="0.2">
      <c r="A50" s="95"/>
      <c r="B50" s="97"/>
      <c r="C50" s="65" t="s">
        <v>2</v>
      </c>
      <c r="D50" s="66">
        <f t="shared" si="66"/>
        <v>0.85831998168917367</v>
      </c>
      <c r="E50" s="69">
        <v>56250</v>
      </c>
      <c r="F50" s="68">
        <f>E50</f>
        <v>56250</v>
      </c>
      <c r="G50" s="69">
        <f>D50*$H$4</f>
        <v>1235.9807736324101</v>
      </c>
      <c r="H50" s="69" t="str">
        <f>IF(H$2&lt;16/9,(18*H$3*E50+(16*H$4-9*H$3)*65535)/(32*H$4),"")</f>
        <v/>
      </c>
      <c r="I50" s="59" t="str">
        <f>IF(H$2&lt;16/9,(18*H$3*E50+(16*H$4-9*H$3)*65535)/(32*65535),"")</f>
        <v/>
      </c>
      <c r="L50" s="89">
        <f t="shared" ref="L50" si="72">E50/65535*$L$5+$L$3</f>
        <v>1022.8439002059968</v>
      </c>
      <c r="N50" s="89">
        <f t="shared" si="68"/>
        <v>1022.8439002059968</v>
      </c>
      <c r="P50" s="89">
        <f t="shared" si="1"/>
        <v>0</v>
      </c>
    </row>
    <row r="51" spans="1:19" ht="15.75" x14ac:dyDescent="0.2">
      <c r="A51" s="76" t="s">
        <v>11</v>
      </c>
      <c r="B51" s="76"/>
      <c r="C51" s="70"/>
      <c r="D51" s="71"/>
      <c r="E51" s="46"/>
      <c r="F51" s="72"/>
      <c r="G51" s="46"/>
      <c r="H51" s="73"/>
      <c r="I51" s="77"/>
      <c r="L51" s="89"/>
      <c r="P51" s="89">
        <f t="shared" si="1"/>
        <v>0</v>
      </c>
    </row>
    <row r="52" spans="1:19" ht="15.75" x14ac:dyDescent="0.2">
      <c r="A52" s="95" t="s">
        <v>53</v>
      </c>
      <c r="B52" s="96" t="s">
        <v>25</v>
      </c>
      <c r="C52" s="60" t="s">
        <v>7</v>
      </c>
      <c r="D52" s="61">
        <f t="shared" ref="D52:D73" si="73">E52/65535</f>
        <v>0.12100404364080262</v>
      </c>
      <c r="E52" s="62">
        <v>7930</v>
      </c>
      <c r="F52" s="63">
        <f>H$4/9*16/H$3*E52</f>
        <v>5901.395348837209</v>
      </c>
      <c r="G52" s="64">
        <f>H$4/9*E52/65535*16</f>
        <v>309.7703517204547</v>
      </c>
      <c r="H52" s="50" t="str">
        <f>IF(H$2&lt;16/9,E52,"")</f>
        <v/>
      </c>
      <c r="I52" s="58" t="str">
        <f>IF(H$2&lt;16/9,D52*H$3,"")</f>
        <v/>
      </c>
      <c r="K52" s="89"/>
      <c r="L52" s="89">
        <f>E52/65535*$L$5/9*16+$L$2</f>
        <v>1578.542882090147</v>
      </c>
      <c r="N52" s="89">
        <f t="shared" ref="N52:N72" si="74">D52*$N$4+$N$2</f>
        <v>1570.0994888227665</v>
      </c>
      <c r="P52" s="89">
        <f t="shared" si="1"/>
        <v>8.443393267380543</v>
      </c>
      <c r="S52" s="108"/>
    </row>
    <row r="53" spans="1:19" ht="15.75" x14ac:dyDescent="0.2">
      <c r="A53" s="95"/>
      <c r="B53" s="96"/>
      <c r="C53" s="65" t="s">
        <v>8</v>
      </c>
      <c r="D53" s="66">
        <f t="shared" si="73"/>
        <v>0.44670786602578777</v>
      </c>
      <c r="E53" s="67">
        <v>29275</v>
      </c>
      <c r="F53" s="68">
        <f>E53</f>
        <v>29275</v>
      </c>
      <c r="G53" s="69">
        <f>D53*$H$4</f>
        <v>643.25932707713434</v>
      </c>
      <c r="H53" s="53" t="str">
        <f>IF(H$2&lt;16/9,(18*H$3*E53+(16*H$4-9*H$3)*65535)/(32*H$4),"")</f>
        <v/>
      </c>
      <c r="I53" s="59" t="str">
        <f>IF(H$2&lt;16/9,(18*H$3*E53+(16*H$4-9*H$3)*65535)/(32*65535),"")</f>
        <v/>
      </c>
      <c r="K53" s="89"/>
      <c r="L53" s="89">
        <f>E53/65535*$L$5+$L$3</f>
        <v>577.89120317387665</v>
      </c>
      <c r="N53" s="89">
        <f t="shared" ref="N53:N73" si="75">D53*$N$5+$N$3</f>
        <v>577.89120317387665</v>
      </c>
      <c r="P53" s="89">
        <f t="shared" si="1"/>
        <v>0</v>
      </c>
    </row>
    <row r="54" spans="1:19" ht="15.75" x14ac:dyDescent="0.2">
      <c r="A54" s="95" t="s">
        <v>14</v>
      </c>
      <c r="B54" s="96" t="s">
        <v>26</v>
      </c>
      <c r="C54" s="60" t="s">
        <v>7</v>
      </c>
      <c r="D54" s="61">
        <f t="shared" si="73"/>
        <v>0.12500190737773709</v>
      </c>
      <c r="E54" s="62">
        <v>8192</v>
      </c>
      <c r="F54" s="63">
        <f>H$4/9*16/H$3*E54</f>
        <v>6096.3720930232557</v>
      </c>
      <c r="G54" s="64">
        <f>H$4/9*E54/65535*16</f>
        <v>320.00488288700694</v>
      </c>
      <c r="H54" s="50" t="str">
        <f>IF(H$2&lt;16/9,E54,"")</f>
        <v/>
      </c>
      <c r="I54" s="58" t="str">
        <f>IF(H$2&lt;16/9,D54*H$3,"")</f>
        <v/>
      </c>
      <c r="L54" s="89">
        <f t="shared" ref="L54" si="76">E54/65535*$L$5/9*16+$L$2</f>
        <v>1586.2258877783711</v>
      </c>
      <c r="N54" s="89">
        <f t="shared" si="74"/>
        <v>1577.5035324635692</v>
      </c>
      <c r="P54" s="89">
        <f t="shared" si="1"/>
        <v>8.7223553148019164</v>
      </c>
      <c r="S54" s="108"/>
    </row>
    <row r="55" spans="1:19" ht="15.75" x14ac:dyDescent="0.2">
      <c r="A55" s="95"/>
      <c r="B55" s="96"/>
      <c r="C55" s="65" t="s">
        <v>8</v>
      </c>
      <c r="D55" s="66">
        <f t="shared" si="73"/>
        <v>0.48000305180437935</v>
      </c>
      <c r="E55" s="67">
        <v>31457</v>
      </c>
      <c r="F55" s="68">
        <f>E55</f>
        <v>31457</v>
      </c>
      <c r="G55" s="69">
        <f>D55*$H$4</f>
        <v>691.20439459830629</v>
      </c>
      <c r="H55" s="53" t="str">
        <f>IF(H$2&lt;16/9,(18*H$3*E55+(16*H$4-9*H$3)*65535)/(32*H$4),"")</f>
        <v/>
      </c>
      <c r="I55" s="59" t="str">
        <f>IF(H$2&lt;16/9,(18*H$3*E55+(16*H$4-9*H$3)*65535)/(32*65535),"")</f>
        <v/>
      </c>
      <c r="L55" s="89">
        <f t="shared" ref="L55" si="77">E55/65535*$L$5+$L$3</f>
        <v>613.88329900053407</v>
      </c>
      <c r="N55" s="89">
        <f t="shared" si="75"/>
        <v>613.88329900053407</v>
      </c>
      <c r="P55" s="89">
        <f t="shared" si="1"/>
        <v>0</v>
      </c>
    </row>
    <row r="56" spans="1:19" ht="15.75" x14ac:dyDescent="0.2">
      <c r="A56" s="95" t="s">
        <v>15</v>
      </c>
      <c r="B56" s="96" t="s">
        <v>89</v>
      </c>
      <c r="C56" s="60" t="s">
        <v>7</v>
      </c>
      <c r="D56" s="61">
        <f t="shared" si="73"/>
        <v>0.37500572213321126</v>
      </c>
      <c r="E56" s="62">
        <v>24576</v>
      </c>
      <c r="F56" s="63">
        <f>H$4/9*16/H$3*E56</f>
        <v>18289.116279069767</v>
      </c>
      <c r="G56" s="64">
        <f>H$4/9*E56/65535*16</f>
        <v>960.01464866102083</v>
      </c>
      <c r="H56" s="50" t="str">
        <f>IF(H$2&lt;16/9,E56,"")</f>
        <v/>
      </c>
      <c r="I56" s="58" t="str">
        <f>IF(H$2&lt;16/9,D56*H$3,"")</f>
        <v/>
      </c>
      <c r="L56" s="89">
        <f t="shared" ref="L56" si="78">E56/65535*$L$5/9*16+$L$2</f>
        <v>2066.6776633351137</v>
      </c>
      <c r="N56" s="89">
        <f t="shared" si="74"/>
        <v>2040.5105973907073</v>
      </c>
      <c r="P56" s="89">
        <f t="shared" si="1"/>
        <v>26.167065944406431</v>
      </c>
    </row>
    <row r="57" spans="1:19" s="78" customFormat="1" ht="15.75" x14ac:dyDescent="0.2">
      <c r="A57" s="95"/>
      <c r="B57" s="96"/>
      <c r="C57" s="65" t="s">
        <v>8</v>
      </c>
      <c r="D57" s="66">
        <f t="shared" si="73"/>
        <v>0.79166857404440372</v>
      </c>
      <c r="E57" s="67">
        <v>51882</v>
      </c>
      <c r="F57" s="68">
        <f>E57</f>
        <v>51882</v>
      </c>
      <c r="G57" s="69">
        <f>D57*$H$4</f>
        <v>1140.0027466239414</v>
      </c>
      <c r="H57" s="53" t="str">
        <f>IF(H$2&lt;16/9,(18*H$3*E57+(16*H$4-9*H$3)*65535)/(32*H$4),"")</f>
        <v/>
      </c>
      <c r="I57" s="59" t="str">
        <f>IF(H$2&lt;16/9,(18*H$3*E57+(16*H$4-9*H$3)*65535)/(32*65535),"")</f>
        <v/>
      </c>
      <c r="L57" s="89">
        <f t="shared" ref="L57" si="79">E57/65535*$L$5+$L$3</f>
        <v>950.79372854200039</v>
      </c>
      <c r="N57" s="89">
        <f t="shared" si="75"/>
        <v>950.79372854200039</v>
      </c>
      <c r="P57" s="89">
        <f t="shared" si="1"/>
        <v>0</v>
      </c>
    </row>
    <row r="58" spans="1:19" s="78" customFormat="1" ht="15.75" x14ac:dyDescent="0.2">
      <c r="A58" s="95" t="s">
        <v>16</v>
      </c>
      <c r="B58" s="96" t="s">
        <v>34</v>
      </c>
      <c r="C58" s="60" t="s">
        <v>7</v>
      </c>
      <c r="D58" s="61">
        <f t="shared" si="73"/>
        <v>0.12497138933394369</v>
      </c>
      <c r="E58" s="62">
        <v>8190</v>
      </c>
      <c r="F58" s="63">
        <f>H$4/9*16/H$3*E58</f>
        <v>6094.8837209302328</v>
      </c>
      <c r="G58" s="64">
        <f>H$4/9*E58/65535*16</f>
        <v>319.92675669489586</v>
      </c>
      <c r="H58" s="50" t="str">
        <f>IF(H$2&lt;16/9,E58,"")</f>
        <v/>
      </c>
      <c r="I58" s="58" t="str">
        <f>IF(H$2&lt;16/9,D58*H$3,"")</f>
        <v/>
      </c>
      <c r="L58" s="89">
        <f t="shared" ref="L58:L60" si="80">E58/65535*$L$5/9*16+$L$2</f>
        <v>1586.1672388799877</v>
      </c>
      <c r="N58" s="89">
        <f t="shared" si="74"/>
        <v>1577.4470130464638</v>
      </c>
      <c r="P58" s="89">
        <f t="shared" si="1"/>
        <v>8.7202258335239549</v>
      </c>
    </row>
    <row r="59" spans="1:19" ht="15.75" x14ac:dyDescent="0.2">
      <c r="A59" s="95"/>
      <c r="B59" s="96"/>
      <c r="C59" s="65" t="s">
        <v>8</v>
      </c>
      <c r="D59" s="66">
        <f t="shared" si="73"/>
        <v>0.76386663614862282</v>
      </c>
      <c r="E59" s="67">
        <v>50060</v>
      </c>
      <c r="F59" s="68">
        <f>E59</f>
        <v>50060</v>
      </c>
      <c r="G59" s="69">
        <f>D59*$H$4</f>
        <v>1099.9679560540169</v>
      </c>
      <c r="H59" s="53" t="str">
        <f>IF(H$2&lt;16/9,(18*H$3*E59+(16*H$4-9*H$3)*65535)/(32*H$4),"")</f>
        <v/>
      </c>
      <c r="I59" s="59" t="str">
        <f>IF(H$2&lt;16/9,(18*H$3*E59+(16*H$4-9*H$3)*65535)/(32*65535),"")</f>
        <v/>
      </c>
      <c r="L59" s="89">
        <f t="shared" ref="L59" si="81">E59/65535*$L$5+$L$3</f>
        <v>920.73983367666131</v>
      </c>
      <c r="N59" s="89">
        <f t="shared" si="75"/>
        <v>920.73983367666131</v>
      </c>
      <c r="P59" s="89">
        <f t="shared" si="1"/>
        <v>0</v>
      </c>
    </row>
    <row r="60" spans="1:19" s="93" customFormat="1" ht="15.75" x14ac:dyDescent="0.2">
      <c r="A60" s="95" t="s">
        <v>80</v>
      </c>
      <c r="B60" s="96" t="s">
        <v>82</v>
      </c>
      <c r="C60" s="60" t="s">
        <v>7</v>
      </c>
      <c r="D60" s="61">
        <f t="shared" si="73"/>
        <v>0.30518043793392846</v>
      </c>
      <c r="E60" s="62">
        <v>20000</v>
      </c>
      <c r="F60" s="63">
        <f t="shared" ref="F60" si="82">H$4/9*16/H$3*E60</f>
        <v>14883.720930232557</v>
      </c>
      <c r="G60" s="64">
        <f>H$4/9*E60/65535*16</f>
        <v>781.26192111085675</v>
      </c>
      <c r="H60" s="75" t="str">
        <f t="shared" ref="H60" si="83">IF(H$2&lt;16/9,E60,"")</f>
        <v/>
      </c>
      <c r="I60" s="58" t="str">
        <f t="shared" ref="I60" si="84">IF(H$2&lt;16/9,D60*H$3,"")</f>
        <v/>
      </c>
      <c r="L60" s="94">
        <f t="shared" si="80"/>
        <v>1932.4889838339141</v>
      </c>
      <c r="N60" s="89">
        <f t="shared" si="74"/>
        <v>1911.1941710536355</v>
      </c>
      <c r="O60" s="94"/>
      <c r="P60" s="89">
        <f t="shared" si="1"/>
        <v>21.294812780278562</v>
      </c>
    </row>
    <row r="61" spans="1:19" s="93" customFormat="1" ht="15.75" x14ac:dyDescent="0.2">
      <c r="A61" s="95"/>
      <c r="B61" s="96"/>
      <c r="C61" s="65" t="s">
        <v>8</v>
      </c>
      <c r="D61" s="66">
        <f t="shared" si="73"/>
        <v>0.77058060578316934</v>
      </c>
      <c r="E61" s="67">
        <v>50500</v>
      </c>
      <c r="F61" s="68">
        <f t="shared" ref="F61" si="85">E61</f>
        <v>50500</v>
      </c>
      <c r="G61" s="69">
        <f t="shared" ref="G61" si="86">D61*$H$4</f>
        <v>1109.6360723277639</v>
      </c>
      <c r="H61" s="69" t="str">
        <f t="shared" ref="H61" si="87">IF(H$2&lt;16/9,(18*H$3*E61+(16*H$4-9*H$3)*65535)/(32*H$4),"")</f>
        <v/>
      </c>
      <c r="I61" s="59" t="str">
        <f t="shared" ref="I61" si="88">IF(H$2&lt;16/9,(18*H$3*E61+(16*H$4-9*H$3)*65535)/(32*65535),"")</f>
        <v/>
      </c>
      <c r="L61" s="94">
        <f t="shared" ref="L61" si="89">E61/65535*$L$5+$L$3</f>
        <v>927.99763485160611</v>
      </c>
      <c r="N61" s="89">
        <f t="shared" si="75"/>
        <v>927.99763485160611</v>
      </c>
      <c r="P61" s="89">
        <f t="shared" si="1"/>
        <v>0</v>
      </c>
    </row>
    <row r="62" spans="1:19" s="93" customFormat="1" ht="15.75" x14ac:dyDescent="0.2">
      <c r="A62" s="95" t="s">
        <v>81</v>
      </c>
      <c r="B62" s="96" t="s">
        <v>83</v>
      </c>
      <c r="C62" s="60" t="s">
        <v>7</v>
      </c>
      <c r="D62" s="61">
        <f t="shared" si="73"/>
        <v>0.44251163500419621</v>
      </c>
      <c r="E62" s="62">
        <v>29000</v>
      </c>
      <c r="F62" s="63">
        <f t="shared" ref="F62" si="90">H$4/9*16/H$3*E62</f>
        <v>21581.39534883721</v>
      </c>
      <c r="G62" s="64">
        <f t="shared" ref="G62" si="91">H$4/9*E62/65535*16</f>
        <v>1132.8297856107424</v>
      </c>
      <c r="H62" s="75" t="str">
        <f t="shared" ref="H62" si="92">IF(H$2&lt;16/9,E62,"")</f>
        <v/>
      </c>
      <c r="I62" s="58" t="str">
        <f t="shared" ref="I62" si="93">IF(H$2&lt;16/9,D62*H$3,"")</f>
        <v/>
      </c>
      <c r="L62" s="94">
        <f t="shared" ref="L62" si="94">E62/65535*$L$5/9*16+$L$2</f>
        <v>2196.4090265591753</v>
      </c>
      <c r="N62" s="89">
        <f t="shared" si="74"/>
        <v>2165.5315480277714</v>
      </c>
      <c r="P62" s="89">
        <f t="shared" si="1"/>
        <v>30.877478531403995</v>
      </c>
    </row>
    <row r="63" spans="1:19" ht="15.75" x14ac:dyDescent="0.2">
      <c r="A63" s="95"/>
      <c r="B63" s="96"/>
      <c r="C63" s="65" t="s">
        <v>8</v>
      </c>
      <c r="D63" s="66">
        <f t="shared" si="73"/>
        <v>0.77058060578316934</v>
      </c>
      <c r="E63" s="67">
        <v>50500</v>
      </c>
      <c r="F63" s="68">
        <f t="shared" ref="F63" si="95">E63</f>
        <v>50500</v>
      </c>
      <c r="G63" s="69">
        <f t="shared" ref="G63" si="96">D63*$H$4</f>
        <v>1109.6360723277639</v>
      </c>
      <c r="H63" s="53" t="str">
        <f t="shared" ref="H63" si="97">IF(H$2&lt;16/9,(18*H$3*E63+(16*H$4-9*H$3)*65535)/(32*H$4),"")</f>
        <v/>
      </c>
      <c r="I63" s="59" t="str">
        <f t="shared" ref="I63" si="98">IF(H$2&lt;16/9,(18*H$3*E63+(16*H$4-9*H$3)*65535)/(32*65535),"")</f>
        <v/>
      </c>
      <c r="L63" s="89">
        <f t="shared" ref="L63" si="99">E63/65535*$L$5+$L$3</f>
        <v>927.99763485160611</v>
      </c>
      <c r="N63" s="89">
        <f t="shared" si="75"/>
        <v>927.99763485160611</v>
      </c>
      <c r="P63" s="89">
        <f t="shared" si="1"/>
        <v>0</v>
      </c>
    </row>
    <row r="64" spans="1:19" ht="15.75" x14ac:dyDescent="0.2">
      <c r="A64" s="95" t="s">
        <v>17</v>
      </c>
      <c r="B64" s="96" t="s">
        <v>27</v>
      </c>
      <c r="C64" s="60" t="s">
        <v>7</v>
      </c>
      <c r="D64" s="61">
        <f t="shared" si="73"/>
        <v>0.10800335698481728</v>
      </c>
      <c r="E64" s="62">
        <v>7078</v>
      </c>
      <c r="F64" s="63">
        <f>H$4/9*16/H$3*E64</f>
        <v>5267.3488372093025</v>
      </c>
      <c r="G64" s="64">
        <f>H$4/9*E64/65535*16</f>
        <v>276.4885938811322</v>
      </c>
      <c r="H64" s="50" t="str">
        <f>IF(H$2&lt;16/9,E64,"")</f>
        <v/>
      </c>
      <c r="I64" s="58" t="str">
        <f>IF(H$2&lt;16/9,D64*H$3,"")</f>
        <v/>
      </c>
      <c r="L64" s="89">
        <f t="shared" ref="L64" si="100">E64/65535*$L$5/9*16+$L$2</f>
        <v>1553.5584513788222</v>
      </c>
      <c r="N64" s="89">
        <f t="shared" si="74"/>
        <v>1546.0222171358816</v>
      </c>
      <c r="P64" s="89">
        <f t="shared" si="1"/>
        <v>7.5362342429405089</v>
      </c>
    </row>
    <row r="65" spans="1:16" ht="15.75" x14ac:dyDescent="0.2">
      <c r="A65" s="95"/>
      <c r="B65" s="96"/>
      <c r="C65" s="65" t="s">
        <v>8</v>
      </c>
      <c r="D65" s="66">
        <f t="shared" si="73"/>
        <v>0.37500572213321126</v>
      </c>
      <c r="E65" s="67">
        <v>24576</v>
      </c>
      <c r="F65" s="68">
        <f>E65</f>
        <v>24576</v>
      </c>
      <c r="G65" s="69">
        <f>D65*$H$4</f>
        <v>540.00823987182423</v>
      </c>
      <c r="H65" s="53" t="str">
        <f>IF(H$2&lt;16/9,(18*H$3*E65+(16*H$4-9*H$3)*65535)/(32*H$4),"")</f>
        <v/>
      </c>
      <c r="I65" s="59" t="str">
        <f>IF(H$2&lt;16/9,(18*H$3*E65+(16*H$4-9*H$3)*65535)/(32*65535),"")</f>
        <v/>
      </c>
      <c r="L65" s="89">
        <f t="shared" ref="L65" si="101">E65/65535*$L$5+$L$3</f>
        <v>500.38118562600135</v>
      </c>
      <c r="N65" s="89">
        <f t="shared" si="75"/>
        <v>500.38118562600135</v>
      </c>
      <c r="P65" s="89">
        <f t="shared" si="1"/>
        <v>0</v>
      </c>
    </row>
    <row r="66" spans="1:16" ht="15.75" x14ac:dyDescent="0.2">
      <c r="A66" s="95" t="s">
        <v>54</v>
      </c>
      <c r="B66" s="96" t="s">
        <v>28</v>
      </c>
      <c r="C66" s="60" t="s">
        <v>7</v>
      </c>
      <c r="D66" s="61">
        <f t="shared" si="73"/>
        <v>3.2822156099794005E-2</v>
      </c>
      <c r="E66" s="62">
        <v>2151</v>
      </c>
      <c r="F66" s="63">
        <f>H$4/9*16/H$3*E66</f>
        <v>1600.7441860465117</v>
      </c>
      <c r="G66" s="64">
        <f>H$4/9*E66/65535*16</f>
        <v>84.024719615472648</v>
      </c>
      <c r="H66" s="50" t="str">
        <f>IF(H$2&lt;16/9,E66,"")</f>
        <v/>
      </c>
      <c r="I66" s="58" t="str">
        <f>IF(H$2&lt;16/9,D66*H$3,"")</f>
        <v/>
      </c>
      <c r="L66" s="89">
        <f t="shared" ref="L66" si="102">E66/65535*$L$5/9*16+$L$2</f>
        <v>1409.0768902113375</v>
      </c>
      <c r="N66" s="89">
        <f t="shared" si="74"/>
        <v>1406.7866330968186</v>
      </c>
      <c r="P66" s="89">
        <f t="shared" si="1"/>
        <v>2.2902571145189086</v>
      </c>
    </row>
    <row r="67" spans="1:16" ht="15.75" x14ac:dyDescent="0.2">
      <c r="A67" s="95"/>
      <c r="B67" s="96"/>
      <c r="C67" s="65" t="s">
        <v>8</v>
      </c>
      <c r="D67" s="66">
        <f t="shared" si="73"/>
        <v>0.22984664682993819</v>
      </c>
      <c r="E67" s="67">
        <v>15063</v>
      </c>
      <c r="F67" s="68">
        <f>E67</f>
        <v>15063</v>
      </c>
      <c r="G67" s="69">
        <f>D67*$H$4</f>
        <v>330.97917143511097</v>
      </c>
      <c r="H67" s="53" t="str">
        <f>IF(H$2&lt;16/9,(18*H$3*E67+(16*H$4-9*H$3)*65535)/(32*H$4),"")</f>
        <v/>
      </c>
      <c r="I67" s="59" t="str">
        <f>IF(H$2&lt;16/9,(18*H$3*E67+(16*H$4-9*H$3)*65535)/(32*65535),"")</f>
        <v/>
      </c>
      <c r="L67" s="89">
        <f t="shared" ref="L67" si="103">E67/65535*$L$5+$L$3</f>
        <v>343.46422522316317</v>
      </c>
      <c r="N67" s="89">
        <f t="shared" si="75"/>
        <v>343.46422522316317</v>
      </c>
      <c r="P67" s="89">
        <f t="shared" si="1"/>
        <v>0</v>
      </c>
    </row>
    <row r="68" spans="1:16" ht="15.75" x14ac:dyDescent="0.2">
      <c r="A68" s="95" t="s">
        <v>55</v>
      </c>
      <c r="B68" s="96" t="s">
        <v>29</v>
      </c>
      <c r="C68" s="60" t="s">
        <v>7</v>
      </c>
      <c r="D68" s="61">
        <f t="shared" si="73"/>
        <v>7.2953383688105597E-2</v>
      </c>
      <c r="E68" s="79">
        <v>4781</v>
      </c>
      <c r="F68" s="75">
        <f>H$4/9*16/H$3*E68</f>
        <v>3557.953488372093</v>
      </c>
      <c r="G68" s="64">
        <f>H$4/9*E68/65535*16</f>
        <v>186.76066224155031</v>
      </c>
      <c r="H68" s="50" t="str">
        <f>IF(H$2&lt;16/9,E68,"")</f>
        <v/>
      </c>
      <c r="I68" s="58" t="str">
        <f>IF(H$2&lt;16/9,D68*H$3,"")</f>
        <v/>
      </c>
      <c r="L68" s="89">
        <f t="shared" ref="L68" si="104">E68/65535*$L$5/9*16+$L$2</f>
        <v>1486.2001915854971</v>
      </c>
      <c r="N68" s="89">
        <f t="shared" si="74"/>
        <v>1481.1096665903715</v>
      </c>
      <c r="P68" s="89">
        <f t="shared" si="1"/>
        <v>5.0905249951256337</v>
      </c>
    </row>
    <row r="69" spans="1:16" ht="15.75" x14ac:dyDescent="0.2">
      <c r="A69" s="95"/>
      <c r="B69" s="96"/>
      <c r="C69" s="65" t="s">
        <v>8</v>
      </c>
      <c r="D69" s="66">
        <f t="shared" si="73"/>
        <v>0.35959411001754787</v>
      </c>
      <c r="E69" s="80">
        <v>23566</v>
      </c>
      <c r="F69" s="69">
        <f>E69</f>
        <v>23566</v>
      </c>
      <c r="G69" s="69">
        <f>D69*$H$4</f>
        <v>517.81551842526892</v>
      </c>
      <c r="H69" s="53" t="str">
        <f>IF(H$2&lt;16/9,(18*H$3*E69+(16*H$4-9*H$3)*65535)/(32*H$4),"")</f>
        <v/>
      </c>
      <c r="I69" s="59" t="str">
        <f>IF(H$2&lt;16/9,(18*H$3*E69+(16*H$4-9*H$3)*65535)/(32*65535),"")</f>
        <v/>
      </c>
      <c r="L69" s="89">
        <f t="shared" ref="L69" si="105">E69/65535*$L$5+$L$3</f>
        <v>483.72123292896924</v>
      </c>
      <c r="N69" s="89">
        <f t="shared" si="75"/>
        <v>483.72123292896924</v>
      </c>
      <c r="P69" s="89">
        <f t="shared" si="1"/>
        <v>0</v>
      </c>
    </row>
    <row r="70" spans="1:16" ht="15.75" x14ac:dyDescent="0.2">
      <c r="A70" s="95" t="s">
        <v>18</v>
      </c>
      <c r="B70" s="96" t="s">
        <v>20</v>
      </c>
      <c r="C70" s="60" t="s">
        <v>7</v>
      </c>
      <c r="D70" s="61">
        <f t="shared" si="73"/>
        <v>8.0003051804379333E-2</v>
      </c>
      <c r="E70" s="62">
        <v>5243</v>
      </c>
      <c r="F70" s="63">
        <f>H$4/9*16/H$3*E70</f>
        <v>3901.7674418604652</v>
      </c>
      <c r="G70" s="64">
        <f>H$4/9*E70/65535*16</f>
        <v>204.80781261921112</v>
      </c>
      <c r="H70" s="50" t="str">
        <f>IF(H$2&lt;16/9,E70,"")</f>
        <v/>
      </c>
      <c r="I70" s="58" t="str">
        <f>IF(H$2&lt;16/9,D70*H$3,"")</f>
        <v/>
      </c>
      <c r="L70" s="89">
        <f t="shared" ref="L70" si="106">E70/65535*$L$5/9*16+$L$2</f>
        <v>1499.7480871120606</v>
      </c>
      <c r="N70" s="89">
        <f t="shared" si="74"/>
        <v>1494.1656519417106</v>
      </c>
      <c r="P70" s="89">
        <f t="shared" si="1"/>
        <v>5.5824351703499815</v>
      </c>
    </row>
    <row r="71" spans="1:16" ht="15.75" x14ac:dyDescent="0.2">
      <c r="A71" s="95"/>
      <c r="B71" s="96"/>
      <c r="C71" s="65" t="s">
        <v>8</v>
      </c>
      <c r="D71" s="66">
        <f t="shared" si="73"/>
        <v>4.1992828259708556E-2</v>
      </c>
      <c r="E71" s="67">
        <v>2752</v>
      </c>
      <c r="F71" s="68">
        <f>E71</f>
        <v>2752</v>
      </c>
      <c r="G71" s="69">
        <f>D71*$H$4</f>
        <v>60.469672693980321</v>
      </c>
      <c r="H71" s="53" t="str">
        <f>IF(H$2&lt;16/9,(18*H$3*E71+(16*H$4-9*H$3)*65535)/(32*H$4),"")</f>
        <v/>
      </c>
      <c r="I71" s="59" t="str">
        <f>IF(H$2&lt;16/9,(18*H$3*E71+(16*H$4-9*H$3)*65535)/(32*65535),"")</f>
        <v/>
      </c>
      <c r="L71" s="89">
        <f t="shared" ref="L71" si="107">E71/65535*$L$5+$L$3</f>
        <v>140.39424734874495</v>
      </c>
      <c r="N71" s="89">
        <f t="shared" si="75"/>
        <v>140.39424734874495</v>
      </c>
      <c r="P71" s="89">
        <f t="shared" si="1"/>
        <v>0</v>
      </c>
    </row>
    <row r="72" spans="1:16" ht="15.75" x14ac:dyDescent="0.2">
      <c r="A72" s="95" t="s">
        <v>19</v>
      </c>
      <c r="B72" s="96" t="s">
        <v>21</v>
      </c>
      <c r="C72" s="60" t="s">
        <v>7</v>
      </c>
      <c r="D72" s="61">
        <f t="shared" si="73"/>
        <v>0.14500648508430611</v>
      </c>
      <c r="E72" s="62">
        <v>9503</v>
      </c>
      <c r="F72" s="63">
        <f>H$4/9*16/H$3*E72</f>
        <v>7072</v>
      </c>
      <c r="G72" s="64">
        <f>H$4/9*E72/65535*16</f>
        <v>371.21660181582359</v>
      </c>
      <c r="H72" s="50" t="str">
        <f>IF(H$2&lt;16/9,E72,"")</f>
        <v/>
      </c>
      <c r="I72" s="58" t="str">
        <f>IF(H$2&lt;16/9,D72*H$3,"")</f>
        <v/>
      </c>
      <c r="L72" s="89">
        <f t="shared" ref="L72" si="108">E72/65535*$L$5/9*16+$L$2</f>
        <v>1624.6702406686843</v>
      </c>
      <c r="N72" s="89">
        <f t="shared" si="74"/>
        <v>1614.5520103761348</v>
      </c>
      <c r="P72" s="89">
        <f t="shared" si="1"/>
        <v>10.11823029254947</v>
      </c>
    </row>
    <row r="73" spans="1:16" ht="15.75" x14ac:dyDescent="0.2">
      <c r="A73" s="98"/>
      <c r="B73" s="97"/>
      <c r="C73" s="81" t="s">
        <v>8</v>
      </c>
      <c r="D73" s="82">
        <f t="shared" si="73"/>
        <v>0.1479972533760586</v>
      </c>
      <c r="E73" s="83">
        <v>9699</v>
      </c>
      <c r="F73" s="84">
        <f>E73</f>
        <v>9699</v>
      </c>
      <c r="G73" s="85">
        <f>D73*$H$4</f>
        <v>213.11604486152439</v>
      </c>
      <c r="H73" s="86" t="str">
        <f>IF(H$2&lt;16/9,(18*H$3*E73+(16*H$4-9*H$3)*65535)/(32*H$4),"")</f>
        <v/>
      </c>
      <c r="I73" s="87" t="str">
        <f>IF(H$2&lt;16/9,(18*H$3*E73+(16*H$4-9*H$3)*65535)/(32*65535),"")</f>
        <v/>
      </c>
      <c r="L73" s="89">
        <f t="shared" ref="L73" si="109">E73/65535*$L$5+$L$3</f>
        <v>254.98503089951933</v>
      </c>
      <c r="N73" s="89">
        <f t="shared" si="75"/>
        <v>254.98503089951933</v>
      </c>
      <c r="P73" s="89">
        <f t="shared" si="1"/>
        <v>0</v>
      </c>
    </row>
  </sheetData>
  <sheetProtection selectLockedCells="1"/>
  <mergeCells count="66">
    <mergeCell ref="B24:B25"/>
    <mergeCell ref="A49:A50"/>
    <mergeCell ref="B49:B50"/>
    <mergeCell ref="A42:A43"/>
    <mergeCell ref="A34:A35"/>
    <mergeCell ref="B26:B27"/>
    <mergeCell ref="A38:A39"/>
    <mergeCell ref="B38:B39"/>
    <mergeCell ref="A40:A41"/>
    <mergeCell ref="B40:B41"/>
    <mergeCell ref="B14:B15"/>
    <mergeCell ref="B16:B17"/>
    <mergeCell ref="B18:B19"/>
    <mergeCell ref="B20:B21"/>
    <mergeCell ref="B22:B23"/>
    <mergeCell ref="B52:B53"/>
    <mergeCell ref="A45:A46"/>
    <mergeCell ref="A47:A48"/>
    <mergeCell ref="A52:A53"/>
    <mergeCell ref="A28:A29"/>
    <mergeCell ref="A30:A31"/>
    <mergeCell ref="A32:A33"/>
    <mergeCell ref="B28:B29"/>
    <mergeCell ref="B30:B31"/>
    <mergeCell ref="B32:B33"/>
    <mergeCell ref="B34:B35"/>
    <mergeCell ref="B36:B37"/>
    <mergeCell ref="A36:A37"/>
    <mergeCell ref="B42:B43"/>
    <mergeCell ref="B45:B46"/>
    <mergeCell ref="B47:B48"/>
    <mergeCell ref="F1:I1"/>
    <mergeCell ref="B12:B13"/>
    <mergeCell ref="D5:E5"/>
    <mergeCell ref="B7:B8"/>
    <mergeCell ref="B10:B11"/>
    <mergeCell ref="F3:F4"/>
    <mergeCell ref="A10:A11"/>
    <mergeCell ref="A20:A21"/>
    <mergeCell ref="A22:A23"/>
    <mergeCell ref="A24:A25"/>
    <mergeCell ref="A26:A27"/>
    <mergeCell ref="A12:A13"/>
    <mergeCell ref="A14:A15"/>
    <mergeCell ref="A16:A17"/>
    <mergeCell ref="A18:A19"/>
    <mergeCell ref="B54:B55"/>
    <mergeCell ref="A54:A55"/>
    <mergeCell ref="B56:B57"/>
    <mergeCell ref="A56:A57"/>
    <mergeCell ref="B58:B59"/>
    <mergeCell ref="A58:A59"/>
    <mergeCell ref="B72:B73"/>
    <mergeCell ref="A72:A73"/>
    <mergeCell ref="B64:B65"/>
    <mergeCell ref="A64:A65"/>
    <mergeCell ref="B66:B67"/>
    <mergeCell ref="A66:A67"/>
    <mergeCell ref="B68:B69"/>
    <mergeCell ref="A68:A69"/>
    <mergeCell ref="A60:A61"/>
    <mergeCell ref="A62:A63"/>
    <mergeCell ref="B60:B61"/>
    <mergeCell ref="B62:B63"/>
    <mergeCell ref="B70:B71"/>
    <mergeCell ref="A70:A71"/>
  </mergeCells>
  <phoneticPr fontId="3" type="noConversion"/>
  <pageMargins left="0.7" right="0.7" top="0.75" bottom="0.75" header="0.3" footer="0.3"/>
  <pageSetup paperSize="8" orientation="portrait" horizontalDpi="4294967295" verticalDpi="4294967295" r:id="rId1"/>
  <ignoredErrors>
    <ignoredError sqref="F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6B0B-9094-48FB-93C0-082FAAE5E97D}">
  <dimension ref="A1:E55"/>
  <sheetViews>
    <sheetView workbookViewId="0">
      <pane ySplit="2" topLeftCell="A3" activePane="bottomLeft" state="frozen"/>
      <selection pane="bottomLeft" activeCell="C39" sqref="C39"/>
    </sheetView>
  </sheetViews>
  <sheetFormatPr defaultColWidth="8.875" defaultRowHeight="14.25" x14ac:dyDescent="0.2"/>
  <cols>
    <col min="1" max="2" width="38.875" bestFit="1" customWidth="1"/>
    <col min="3" max="3" width="30.5" bestFit="1" customWidth="1"/>
    <col min="4" max="4" width="38.875" bestFit="1" customWidth="1"/>
    <col min="5" max="5" width="30.5" bestFit="1" customWidth="1"/>
  </cols>
  <sheetData>
    <row r="1" spans="1:5" ht="45.75" customHeight="1" x14ac:dyDescent="0.2">
      <c r="A1" s="107" t="str">
        <f>screen!F1</f>
        <v>3440/1440</v>
      </c>
      <c r="B1" s="107"/>
      <c r="C1" s="107"/>
      <c r="D1" s="107"/>
      <c r="E1" s="107"/>
    </row>
    <row r="2" spans="1:5" s="3" customFormat="1" ht="36.75" customHeight="1" x14ac:dyDescent="0.2">
      <c r="A2" s="1" t="s">
        <v>12</v>
      </c>
      <c r="B2" s="4" t="s">
        <v>3</v>
      </c>
      <c r="C2" s="1" t="s">
        <v>4</v>
      </c>
      <c r="D2" s="4" t="s">
        <v>39</v>
      </c>
      <c r="E2" s="2" t="s">
        <v>40</v>
      </c>
    </row>
    <row r="3" spans="1:5" x14ac:dyDescent="0.2">
      <c r="A3" s="7" t="s">
        <v>70</v>
      </c>
      <c r="B3" s="7" t="str">
        <f>"[0] = { -- "&amp;$A$1</f>
        <v>[0] = { -- 3440/1440</v>
      </c>
      <c r="C3" s="7" t="str">
        <f>"["&amp;screen!$H$4&amp;"] = { "</f>
        <v xml:space="preserve">[1440] = { </v>
      </c>
      <c r="D3" s="7" t="str">
        <f>IF(screen!$H$2&lt;16/9,"[0] = { -- "&amp;$A$1&amp;" 黑邊","")</f>
        <v/>
      </c>
      <c r="E3" s="7" t="str">
        <f>IF(screen!$H$2&lt;16/9,"["&amp;screen!$H$4&amp;"] = { -- 黑邊","")</f>
        <v/>
      </c>
    </row>
    <row r="4" spans="1:5" x14ac:dyDescent="0.2">
      <c r="A4" s="8" t="s">
        <v>69</v>
      </c>
      <c r="B4" s="8" t="s">
        <v>69</v>
      </c>
      <c r="C4" s="8" t="s">
        <v>69</v>
      </c>
      <c r="D4" s="8" t="str">
        <f>IF(screen!$H$2&lt;16/9,"-- center","")</f>
        <v/>
      </c>
      <c r="E4" s="8" t="str">
        <f>IF(screen!$H$2&lt;16/9,"-- center","")</f>
        <v/>
      </c>
    </row>
    <row r="5" spans="1:5" x14ac:dyDescent="0.2">
      <c r="A5" s="6" t="str">
        <f>screen!$B10&amp;"_"&amp;screen!$C10&amp;" = "&amp;ROUND(screen!E10,0)&amp;","</f>
        <v>mid_x = 32768,</v>
      </c>
      <c r="B5" s="6" t="str">
        <f>screen!$B10&amp;"_"&amp;screen!$C10&amp;" = "&amp;ROUND(screen!F10,0)&amp;","</f>
        <v>mid_x = 32768,</v>
      </c>
      <c r="C5" s="6" t="str">
        <f>screen!$B10&amp;"_"&amp;screen!$C10&amp;" = "&amp;ROUND(screen!G10,0)&amp;","</f>
        <v>mid_x = 1720,</v>
      </c>
      <c r="D5" s="6" t="str">
        <f>IF(screen!$H$2&lt;16/9,screen!$B10&amp;"_"&amp;screen!$C10&amp;" = "&amp;ROUND(screen!H10,0)&amp;",","")</f>
        <v/>
      </c>
      <c r="E5" s="6" t="str">
        <f>IF(screen!$H$2&lt;16/9,screen!$B10&amp;"_"&amp;screen!$C10&amp;" = "&amp;ROUND(screen!I10,0)&amp;",","")</f>
        <v/>
      </c>
    </row>
    <row r="6" spans="1:5" x14ac:dyDescent="0.2">
      <c r="A6" s="5" t="str">
        <f>screen!$B10&amp;"_"&amp;screen!$C11&amp;" = "&amp;ROUND(screen!E11,0)&amp;","</f>
        <v>mid_y = 32768,</v>
      </c>
      <c r="B6" s="5" t="str">
        <f>screen!$B10&amp;"_"&amp;screen!$C11&amp;" = "&amp;ROUND(screen!F11,0)&amp;","</f>
        <v>mid_y = 32768,</v>
      </c>
      <c r="C6" s="5" t="str">
        <f>screen!$B10&amp;"_"&amp;screen!$C11&amp;" = "&amp;ROUND(screen!G11,0)&amp;","</f>
        <v>mid_y = 720,</v>
      </c>
      <c r="D6" s="5" t="str">
        <f>IF(screen!$H$2&lt;16/9,screen!$B10&amp;"_"&amp;screen!$C11&amp;" = "&amp;ROUND(screen!H11,0)&amp;",","")</f>
        <v/>
      </c>
      <c r="E6" s="5" t="str">
        <f>IF(screen!$H$2&lt;16/9,screen!$B10&amp;"_"&amp;screen!$C11&amp;" = "&amp;ROUND(screen!I11,0)&amp;",","")</f>
        <v/>
      </c>
    </row>
    <row r="7" spans="1:5" x14ac:dyDescent="0.2">
      <c r="A7" s="6" t="str">
        <f>screen!$B12&amp;"_"&amp;screen!$C12&amp;" = {"&amp;ROUND(screen!E12,0)&amp;", "&amp;ROUND(screen!E14,0)&amp;", "&amp;ROUND(screen!E16,0)&amp;", "&amp;ROUND(screen!E18,0)&amp;"},"</f>
        <v>p_tab_x = {20832, 28618, 36575, 44601},</v>
      </c>
      <c r="B7" s="6" t="str">
        <f>screen!$B12&amp;"_"&amp;screen!$C12&amp;" = {"&amp;ROUND(screen!F12,0)&amp;", "&amp;ROUND(screen!F14,0)&amp;", "&amp;ROUND(screen!F16,0)&amp;", "&amp;ROUND(screen!F18,0)&amp;"},"</f>
        <v>p_tab_x = {23885, 29680, 35601, 41574},</v>
      </c>
      <c r="C7" s="6" t="str">
        <f>screen!$B12&amp;"_"&amp;screen!$C12&amp;" = {"&amp;ROUND(screen!G12,0)&amp;", "&amp;ROUND(screen!G14,0)&amp;", "&amp;ROUND(screen!G16,0)&amp;", "&amp;ROUND(screen!G18,0)&amp;"},"</f>
        <v>p_tab_x = {1254, 1558, 1869, 2182},</v>
      </c>
      <c r="D7" s="6" t="str">
        <f>IF(screen!$H$2&lt;16/9,screen!$B12&amp;"_"&amp;screen!$C12&amp;" = {"&amp;ROUND(screen!H12,0)&amp;", "&amp;ROUND(screen!H14,0)&amp;", "&amp;ROUND(screen!H16,0)&amp;", "&amp;ROUND(screen!H18,0)&amp;"},","")</f>
        <v/>
      </c>
      <c r="E7" s="6" t="str">
        <f>IF(screen!$H$2&lt;16/9,screen!$B12&amp;"_"&amp;screen!$C12&amp;" = {"&amp;ROUND(screen!I12,0)&amp;", "&amp;ROUND(screen!I14,0)&amp;", "&amp;ROUND(screen!I16,0)&amp;", "&amp;ROUND(screen!I18,0)&amp;"},","")</f>
        <v/>
      </c>
    </row>
    <row r="8" spans="1:5" x14ac:dyDescent="0.2">
      <c r="A8" s="5" t="str">
        <f>screen!$B12&amp;"_"&amp;screen!$C13&amp;" = "&amp;ROUND(screen!E13,0)&amp;","</f>
        <v>p_tab_y = 6800,</v>
      </c>
      <c r="B8" s="5" t="str">
        <f>screen!$B12&amp;"_"&amp;screen!$C13&amp;" = "&amp;ROUND(screen!F13,0)&amp;","</f>
        <v>p_tab_y = 6800,</v>
      </c>
      <c r="C8" s="5" t="str">
        <f>screen!$B12&amp;"_"&amp;screen!$C13&amp;" = "&amp;ROUND(screen!G13,0)&amp;","</f>
        <v>p_tab_y = 149,</v>
      </c>
      <c r="D8" s="5" t="str">
        <f>IF(screen!$H$2&lt;16/9,screen!$B12&amp;"_"&amp;screen!$C13&amp;" = "&amp;ROUND(screen!H13,0)&amp;",","")</f>
        <v/>
      </c>
      <c r="E8" s="5" t="str">
        <f>IF(screen!$H$2&lt;16/9,screen!$B12&amp;"_"&amp;screen!$C13&amp;" = "&amp;ROUND(screen!I13,0)&amp;",","")</f>
        <v/>
      </c>
    </row>
    <row r="9" spans="1:5" x14ac:dyDescent="0.2">
      <c r="A9" s="6" t="str">
        <f>screen!$B20&amp;"_"&amp;screen!$C20&amp;" = "&amp;ROUND(screen!E20,0)&amp;","</f>
        <v>p_add_x = 43500,</v>
      </c>
      <c r="B9" s="6" t="str">
        <f>screen!$B20&amp;"_"&amp;screen!$C20&amp;" = "&amp;ROUND(screen!F20,0)&amp;","</f>
        <v>p_add_x = 40754,</v>
      </c>
      <c r="C9" s="6" t="str">
        <f>screen!$B20&amp;"_"&amp;screen!$C20&amp;" = "&amp;ROUND(screen!G20,0)&amp;","</f>
        <v>p_add_x = 2139,</v>
      </c>
      <c r="D9" s="6" t="str">
        <f>IF(screen!$H$2&lt;16/9,screen!$B20&amp;"_"&amp;screen!$C20&amp;" = "&amp;ROUND(screen!H20,0)&amp;",","")</f>
        <v/>
      </c>
      <c r="E9" s="6" t="str">
        <f>IF(screen!$H$2&lt;16/9,screen!$B20&amp;"_"&amp;screen!$C20&amp;" = "&amp;ROUND(screen!I20,0)&amp;",","")</f>
        <v/>
      </c>
    </row>
    <row r="10" spans="1:5" x14ac:dyDescent="0.2">
      <c r="A10" s="5" t="str">
        <f>screen!$B20&amp;"_"&amp;screen!$C21&amp;" = {"&amp;ROUND(screen!E21,0)&amp;", "&amp;ROUND(screen!E23,0)&amp;", "&amp;ROUND(screen!E25,0)&amp;", "&amp;ROUND(screen!E27,0)&amp;"},"</f>
        <v>p_add_y = {37171, 31522, 26056, 20347},</v>
      </c>
      <c r="B10" s="5" t="str">
        <f>screen!$B20&amp;"_"&amp;screen!$C21&amp;" = {"&amp;ROUND(screen!F21,0)&amp;", "&amp;ROUND(screen!F23,0)&amp;", "&amp;ROUND(screen!F25,0)&amp;", "&amp;ROUND(screen!F27,0)&amp;"},"</f>
        <v>p_add_y = {37171, 31522, 26056, 20347},</v>
      </c>
      <c r="C10" s="5" t="str">
        <f>screen!$B20&amp;"_"&amp;screen!$C21&amp;" = {"&amp;ROUND(screen!G21,0)&amp;", "&amp;ROUND(screen!G23,0)&amp;", "&amp;ROUND(screen!G25,0)&amp;", "&amp;ROUND(screen!G27,0)&amp;"},"</f>
        <v>p_add_y = {817, 693, 573, 447},</v>
      </c>
      <c r="D10" s="5" t="str">
        <f>IF(screen!$H$2&lt;16/9,screen!$B20&amp;"_"&amp;screen!$C21&amp;" = {"&amp;ROUND(screen!H21,0)&amp;", "&amp;ROUND(screen!H23,0)&amp;", "&amp;ROUND(screen!H25,0)&amp;", "&amp;ROUND(screen!H27,0)&amp;"},","")</f>
        <v/>
      </c>
      <c r="E10" s="5" t="str">
        <f>IF(screen!$H$2&lt;16/9,screen!$B20&amp;"_"&amp;screen!$C21&amp;" = {"&amp;ROUND(screen!I21,0)&amp;", "&amp;ROUND(screen!I23,0)&amp;", "&amp;ROUND(screen!I25,0)&amp;", "&amp;ROUND(screen!I27,0)&amp;"},","")</f>
        <v/>
      </c>
    </row>
    <row r="11" spans="1:5" x14ac:dyDescent="0.2">
      <c r="A11" s="6" t="str">
        <f>screen!$B28&amp;"_"&amp;screen!$C28&amp;" = "&amp;ROUND(screen!E28,0)&amp;","</f>
        <v>p_reset_x = 32819,</v>
      </c>
      <c r="B11" s="6" t="str">
        <f>screen!$B28&amp;"_"&amp;screen!$C28&amp;" = "&amp;ROUND(screen!F28,0)&amp;","</f>
        <v>p_reset_x = 32806,</v>
      </c>
      <c r="C11" s="6" t="str">
        <f>screen!$B28&amp;"_"&amp;screen!$C28&amp;" = "&amp;ROUND(screen!G28,0)&amp;","</f>
        <v>p_reset_x = 1722,</v>
      </c>
      <c r="D11" s="6" t="str">
        <f>IF(screen!$H$2&lt;16/9,screen!$B28&amp;"_"&amp;screen!$C28&amp;" = "&amp;ROUND(screen!H28,0)&amp;",","")</f>
        <v/>
      </c>
      <c r="E11" s="6" t="str">
        <f>IF(screen!$H$2&lt;16/9,screen!$B28&amp;"_"&amp;screen!$C28&amp;" = "&amp;ROUND(screen!I28,0)&amp;",","")</f>
        <v/>
      </c>
    </row>
    <row r="12" spans="1:5" x14ac:dyDescent="0.2">
      <c r="A12" s="5" t="str">
        <f>screen!$B28&amp;"_"&amp;screen!$C29&amp;" = "&amp;ROUND(screen!E29,0)&amp;","</f>
        <v>p_reset_y = 44520,</v>
      </c>
      <c r="B12" s="5" t="str">
        <f>screen!$B28&amp;"_"&amp;screen!$C29&amp;" = "&amp;ROUND(screen!F29,0)&amp;","</f>
        <v>p_reset_y = 44520,</v>
      </c>
      <c r="C12" s="5" t="str">
        <f>screen!$B28&amp;"_"&amp;screen!$C29&amp;" = "&amp;ROUND(screen!G29,0)&amp;","</f>
        <v>p_reset_y = 978,</v>
      </c>
      <c r="D12" s="5" t="str">
        <f>IF(screen!$H$2&lt;16/9,screen!$B28&amp;"_"&amp;screen!$C29&amp;" = "&amp;ROUND(screen!H29,0)&amp;",","")</f>
        <v/>
      </c>
      <c r="E12" s="5" t="str">
        <f>IF(screen!$H$2&lt;16/9,screen!$B28&amp;"_"&amp;screen!$C29&amp;" = "&amp;ROUND(screen!I29,0)&amp;",","")</f>
        <v/>
      </c>
    </row>
    <row r="13" spans="1:5" x14ac:dyDescent="0.2">
      <c r="A13" s="6" t="str">
        <f>screen!$B30&amp;"_"&amp;screen!$C30&amp;" = "&amp;ROUND(screen!E30,0)&amp;","</f>
        <v>p_accept_x = 28311,</v>
      </c>
      <c r="B13" s="6" t="str">
        <f>screen!$B30&amp;"_"&amp;screen!$C30&amp;" = "&amp;ROUND(screen!F30,0)&amp;","</f>
        <v>p_accept_x = 29451,</v>
      </c>
      <c r="C13" s="6" t="str">
        <f>screen!$B30&amp;"_"&amp;screen!$C30&amp;" = "&amp;ROUND(screen!G30,0)&amp;","</f>
        <v>p_accept_x = 1546,</v>
      </c>
      <c r="D13" s="6" t="str">
        <f>IF(screen!$H$2&lt;16/9,screen!$B30&amp;"_"&amp;screen!$C30&amp;" = "&amp;ROUND(screen!H30,0)&amp;",","")</f>
        <v/>
      </c>
      <c r="E13" s="6" t="str">
        <f>IF(screen!$H$2&lt;16/9,screen!$B30&amp;"_"&amp;screen!$C30&amp;" = "&amp;ROUND(screen!I30,0)&amp;",","")</f>
        <v/>
      </c>
    </row>
    <row r="14" spans="1:5" x14ac:dyDescent="0.2">
      <c r="A14" s="5" t="str">
        <f>screen!$B30&amp;"_"&amp;screen!$C31&amp;" = "&amp;ROUND(screen!E31,0)&amp;","</f>
        <v>p_accept_y = 49500,</v>
      </c>
      <c r="B14" s="5" t="str">
        <f>screen!$B30&amp;"_"&amp;screen!$C31&amp;" = "&amp;ROUND(screen!F31,0)&amp;","</f>
        <v>p_accept_y = 49500,</v>
      </c>
      <c r="C14" s="5" t="str">
        <f>screen!$B30&amp;"_"&amp;screen!$C31&amp;" = "&amp;ROUND(screen!G31,0)&amp;","</f>
        <v>p_accept_y = 1088,</v>
      </c>
      <c r="D14" s="5" t="str">
        <f>IF(screen!$H$2&lt;16/9,screen!$B30&amp;"_"&amp;screen!$C31&amp;" = "&amp;ROUND(screen!H31,0)&amp;",","")</f>
        <v/>
      </c>
      <c r="E14" s="5" t="str">
        <f>IF(screen!$H$2&lt;16/9,screen!$B30&amp;"_"&amp;screen!$C31&amp;" = "&amp;ROUND(screen!I31,0)&amp;",","")</f>
        <v/>
      </c>
    </row>
    <row r="15" spans="1:5" x14ac:dyDescent="0.2">
      <c r="A15" s="6" t="str">
        <f>screen!$B32&amp;"_"&amp;screen!$C32&amp;" = "&amp;ROUND(screen!E32,0)&amp;","</f>
        <v>a1_icon_x = 25135,</v>
      </c>
      <c r="B15" s="6" t="str">
        <f>screen!$B32&amp;"_"&amp;screen!$C32&amp;" = "&amp;ROUND(screen!F32,0)&amp;","</f>
        <v>a1_icon_x = 27088,</v>
      </c>
      <c r="C15" s="6" t="str">
        <f>screen!$B32&amp;"_"&amp;screen!$C32&amp;" = "&amp;ROUND(screen!G32,0)&amp;","</f>
        <v>a1_icon_x = 1422,</v>
      </c>
      <c r="D15" s="6" t="str">
        <f>IF(screen!$H$2&lt;16/9,screen!$B32&amp;"_"&amp;screen!$C32&amp;" = "&amp;ROUND(screen!H32,0)&amp;",","")</f>
        <v/>
      </c>
      <c r="E15" s="6" t="str">
        <f>IF(screen!$H$2&lt;16/9,screen!$B32&amp;"_"&amp;screen!$C32&amp;" = "&amp;ROUND(screen!I32,0)&amp;",","")</f>
        <v/>
      </c>
    </row>
    <row r="16" spans="1:5" x14ac:dyDescent="0.2">
      <c r="A16" s="5" t="str">
        <f>screen!$B32&amp;"_"&amp;screen!$C33&amp;" = "&amp;ROUND(screen!E33,0)&amp;","</f>
        <v>a1_icon_y = 37475,</v>
      </c>
      <c r="B16" s="5" t="str">
        <f>screen!$B32&amp;"_"&amp;screen!$C33&amp;" = "&amp;ROUND(screen!F33,0)&amp;","</f>
        <v>a1_icon_y = 37475,</v>
      </c>
      <c r="C16" s="5" t="str">
        <f>screen!$B32&amp;"_"&amp;screen!$C33&amp;" = "&amp;ROUND(screen!G33,0)&amp;","</f>
        <v>a1_icon_y = 823,</v>
      </c>
      <c r="D16" s="5" t="str">
        <f>IF(screen!$H$2&lt;16/9,screen!$B32&amp;"_"&amp;screen!$C33&amp;" = "&amp;ROUND(screen!H33,0)&amp;",","")</f>
        <v/>
      </c>
      <c r="E16" s="5" t="str">
        <f>IF(screen!$H$2&lt;16/9,screen!$B32&amp;"_"&amp;screen!$C33&amp;" = "&amp;ROUND(screen!I33,0)&amp;",","")</f>
        <v/>
      </c>
    </row>
    <row r="17" spans="1:5" x14ac:dyDescent="0.2">
      <c r="A17" s="6" t="str">
        <f>screen!$B34&amp;"_"&amp;screen!$C34&amp;" = "&amp;ROUND(screen!E34,0)&amp;","</f>
        <v>a1_town_x = 34697,</v>
      </c>
      <c r="B17" s="6" t="str">
        <f>screen!$B34&amp;"_"&amp;screen!$C34&amp;" = "&amp;ROUND(screen!F34,0)&amp;","</f>
        <v>a1_town_x = 34203,</v>
      </c>
      <c r="C17" s="6" t="str">
        <f>screen!$B34&amp;"_"&amp;screen!$C34&amp;" = "&amp;ROUND(screen!G34,0)&amp;","</f>
        <v>a1_town_x = 1795,</v>
      </c>
      <c r="D17" s="6" t="str">
        <f>IF(screen!$H$2&lt;16/9,screen!$B34&amp;"_"&amp;screen!$C34&amp;" = "&amp;ROUND(screen!H34,0)&amp;",","")</f>
        <v/>
      </c>
      <c r="E17" s="6" t="str">
        <f>IF(screen!$H$2&lt;16/9,screen!$B34&amp;"_"&amp;screen!$C34&amp;" = "&amp;ROUND(screen!I34,0)&amp;",","")</f>
        <v/>
      </c>
    </row>
    <row r="18" spans="1:5" x14ac:dyDescent="0.2">
      <c r="A18" s="5" t="str">
        <f>screen!$B34&amp;"_"&amp;screen!$C35&amp;" = "&amp;ROUND(screen!E35,0)&amp;","</f>
        <v>a1_town_y = 29336,</v>
      </c>
      <c r="B18" s="5" t="str">
        <f>screen!$B34&amp;"_"&amp;screen!$C35&amp;" = "&amp;ROUND(screen!F35,0)&amp;","</f>
        <v>a1_town_y = 29336,</v>
      </c>
      <c r="C18" s="5" t="str">
        <f>screen!$B34&amp;"_"&amp;screen!$C35&amp;" = "&amp;ROUND(screen!G35,0)&amp;","</f>
        <v>a1_town_y = 645,</v>
      </c>
      <c r="D18" s="5" t="str">
        <f>IF(screen!$H$2&lt;16/9,screen!$B34&amp;"_"&amp;screen!$C35&amp;" = "&amp;ROUND(screen!H35,0)&amp;",","")</f>
        <v/>
      </c>
      <c r="E18" s="5" t="str">
        <f>IF(screen!$H$2&lt;16/9,screen!$B34&amp;"_"&amp;screen!$C35&amp;" = "&amp;ROUND(screen!I35,0)&amp;",","")</f>
        <v/>
      </c>
    </row>
    <row r="19" spans="1:5" x14ac:dyDescent="0.2">
      <c r="A19" s="6" t="str">
        <f>screen!$B36&amp;"_"&amp;screen!$C36&amp;" = "&amp;ROUND(screen!E36,0)&amp;","</f>
        <v>a2_icon_x = 37088,</v>
      </c>
      <c r="B19" s="6" t="str">
        <f>screen!$B36&amp;"_"&amp;screen!$C36&amp;" = "&amp;ROUND(screen!F36,0)&amp;","</f>
        <v>a2_icon_x = 35983,</v>
      </c>
      <c r="C19" s="6" t="str">
        <f>screen!$B36&amp;"_"&amp;screen!$C36&amp;" = "&amp;ROUND(screen!G36,0)&amp;","</f>
        <v>a2_icon_x = 1889,</v>
      </c>
      <c r="D19" s="6" t="str">
        <f>IF(screen!$H$2&lt;16/9,screen!$B36&amp;"_"&amp;screen!$C36&amp;" = "&amp;ROUND(screen!H36,0)&amp;",","")</f>
        <v/>
      </c>
      <c r="E19" s="6" t="str">
        <f>IF(screen!$H$2&lt;16/9,screen!$B36&amp;"_"&amp;screen!$C36&amp;" = "&amp;ROUND(screen!I36,0)&amp;",","")</f>
        <v/>
      </c>
    </row>
    <row r="20" spans="1:5" x14ac:dyDescent="0.2">
      <c r="A20" s="5" t="str">
        <f>screen!$B36&amp;"_"&amp;screen!$C37&amp;" = "&amp;ROUND(screen!E37,0)&amp;","</f>
        <v>a2_icon_y = 31462,</v>
      </c>
      <c r="B20" s="5" t="str">
        <f>screen!$B36&amp;"_"&amp;screen!$C37&amp;" = "&amp;ROUND(screen!F37,0)&amp;","</f>
        <v>a2_icon_y = 31462,</v>
      </c>
      <c r="C20" s="5" t="str">
        <f>screen!$B36&amp;"_"&amp;screen!$C37&amp;" = "&amp;ROUND(screen!G37,0)&amp;","</f>
        <v>a2_icon_y = 691,</v>
      </c>
      <c r="D20" s="5" t="str">
        <f>IF(screen!$H$2&lt;16/9,screen!$B36&amp;"_"&amp;screen!$C37&amp;" = "&amp;ROUND(screen!H37,0)&amp;",","")</f>
        <v/>
      </c>
      <c r="E20" s="5" t="str">
        <f>IF(screen!$H$2&lt;16/9,screen!$B36&amp;"_"&amp;screen!$C37&amp;" = "&amp;ROUND(screen!I37,0)&amp;",","")</f>
        <v/>
      </c>
    </row>
    <row r="21" spans="1:5" x14ac:dyDescent="0.2">
      <c r="A21" s="6" t="str">
        <f>screen!$B40&amp;"_"&amp;screen!$C40&amp;" = "&amp;ROUND(screen!E40,0)&amp;","</f>
        <v>leave_team_x = 29004,</v>
      </c>
      <c r="B21" s="6" t="str">
        <f>screen!$B40&amp;"_"&amp;screen!$C40&amp;" = "&amp;ROUND(screen!F40,0)&amp;","</f>
        <v>leave_team_x = 29967,</v>
      </c>
      <c r="C21" s="6" t="str">
        <f>screen!$B40&amp;"_"&amp;screen!$C40&amp;" = "&amp;ROUND(screen!G40,0)&amp;","</f>
        <v>leave_team_x = 1573,</v>
      </c>
      <c r="D21" s="6" t="str">
        <f>IF(screen!$H$2&lt;16/9,screen!$B40&amp;"_"&amp;screen!$C40&amp;" = "&amp;ROUND(screen!H40,0)&amp;",","")</f>
        <v/>
      </c>
      <c r="E21" s="6" t="str">
        <f>IF(screen!$H$2&lt;16/9,screen!$B40&amp;"_"&amp;screen!$C40&amp;" = "&amp;ROUND(screen!I40,0)&amp;",","")</f>
        <v/>
      </c>
    </row>
    <row r="22" spans="1:5" x14ac:dyDescent="0.2">
      <c r="A22" s="5" t="str">
        <f>screen!$B40&amp;"_"&amp;screen!$C41&amp;" = "&amp;ROUND(screen!E41,0)&amp;","</f>
        <v>leave_team_y = 39867,</v>
      </c>
      <c r="B22" s="5" t="str">
        <f>screen!$B40&amp;"_"&amp;screen!$C41&amp;" = "&amp;ROUND(screen!F41,0)&amp;","</f>
        <v>leave_team_y = 39867,</v>
      </c>
      <c r="C22" s="5" t="str">
        <f>screen!$B40&amp;"_"&amp;screen!$C41&amp;" = "&amp;ROUND(screen!G41,0)&amp;","</f>
        <v>leave_team_y = 876,</v>
      </c>
      <c r="D22" s="5" t="str">
        <f>IF(screen!$H$2&lt;16/9,screen!$B40&amp;"_"&amp;screen!$C41&amp;" = "&amp;ROUND(screen!H41,0)&amp;",","")</f>
        <v/>
      </c>
      <c r="E22" s="5" t="str">
        <f>IF(screen!$H$2&lt;16/9,screen!$B40&amp;"_"&amp;screen!$C41&amp;" = "&amp;ROUND(screen!I41,0)&amp;",","")</f>
        <v/>
      </c>
    </row>
    <row r="23" spans="1:5" x14ac:dyDescent="0.2">
      <c r="A23" s="6" t="str">
        <f>screen!$B42&amp;"_"&amp;screen!$C42&amp;" = "&amp;ROUND(screen!E42,0)&amp;","</f>
        <v>role_ori_x = 32768,</v>
      </c>
      <c r="B23" s="6" t="str">
        <f>screen!$B42&amp;"_"&amp;screen!$C42&amp;" = "&amp;ROUND(screen!F42,0)&amp;","</f>
        <v>role_ori_x = 32768,</v>
      </c>
      <c r="C23" s="6" t="str">
        <f>screen!$B42&amp;"_"&amp;screen!$C42&amp;" = "&amp;ROUND(screen!G42,0)&amp;","</f>
        <v>role_ori_x = 1720,</v>
      </c>
      <c r="D23" s="6" t="str">
        <f>IF(screen!$H$2&lt;16/9,screen!$B42&amp;"_"&amp;screen!$C42&amp;" = "&amp;ROUND(screen!H42,0)&amp;",","")</f>
        <v/>
      </c>
      <c r="E23" s="6" t="str">
        <f>IF(screen!$H$2&lt;16/9,screen!$B42&amp;"_"&amp;screen!$C42&amp;" = "&amp;ROUND(screen!I42,0)&amp;",","")</f>
        <v/>
      </c>
    </row>
    <row r="24" spans="1:5" x14ac:dyDescent="0.2">
      <c r="A24" s="5" t="str">
        <f>screen!$B42&amp;"_"&amp;screen!$C43&amp;" = "&amp;ROUND(screen!E43,0)&amp;","</f>
        <v>role_ori_y = 30700,</v>
      </c>
      <c r="B24" s="5" t="str">
        <f>screen!$B42&amp;"_"&amp;screen!$C43&amp;" = "&amp;ROUND(screen!F43,0)&amp;","</f>
        <v>role_ori_y = 30700,</v>
      </c>
      <c r="C24" s="5" t="str">
        <f>screen!$B42&amp;"_"&amp;screen!$C43&amp;" = "&amp;ROUND(screen!G43,0)&amp;","</f>
        <v>role_ori_y = 675,</v>
      </c>
      <c r="D24" s="5" t="str">
        <f>IF(screen!$H$2&lt;16/9,screen!$B42&amp;"_"&amp;screen!$C43&amp;" = "&amp;ROUND(screen!H43,0)&amp;",","")</f>
        <v/>
      </c>
      <c r="E24" s="5" t="str">
        <f>IF(screen!$H$2&lt;16/9,screen!$B42&amp;"_"&amp;screen!$C43&amp;" = "&amp;ROUND(screen!I43,0)&amp;",","")</f>
        <v/>
      </c>
    </row>
    <row r="25" spans="1:5" x14ac:dyDescent="0.2">
      <c r="A25" s="9" t="s">
        <v>68</v>
      </c>
      <c r="B25" s="9" t="s">
        <v>68</v>
      </c>
      <c r="C25" s="9" t="s">
        <v>68</v>
      </c>
      <c r="D25" s="9" t="str">
        <f>IF(screen!$H$2&lt;16/9,"-- right","")</f>
        <v/>
      </c>
      <c r="E25" s="9" t="str">
        <f>IF(screen!$H$2&lt;16/9,"-- right","")</f>
        <v/>
      </c>
    </row>
    <row r="26" spans="1:5" x14ac:dyDescent="0.2">
      <c r="A26" s="6" t="str">
        <f>screen!$B45&amp;"_"&amp;screen!$C45&amp;" = "&amp;ROUND(screen!E45,0)&amp;","</f>
        <v>grid_start_x = 48747,</v>
      </c>
      <c r="B26" s="6" t="str">
        <f>screen!$B45&amp;"_"&amp;screen!$C45&amp;" = "&amp;ROUND(screen!F45,0)&amp;","</f>
        <v>grid_start_x = 53042,</v>
      </c>
      <c r="C26" s="6" t="str">
        <f>screen!$B45&amp;"_"&amp;screen!$C45&amp;" = "&amp;ROUND(screen!G45,0)&amp;","</f>
        <v>grid_start_x = 2784,</v>
      </c>
      <c r="D26" s="6" t="str">
        <f>IF(screen!$H$2&lt;16/9,screen!$B45&amp;"_"&amp;screen!$C45&amp;" = "&amp;ROUND(screen!H45,0)&amp;",","")</f>
        <v/>
      </c>
      <c r="E26" s="6" t="str">
        <f>IF(screen!$H$2&lt;16/9,screen!$B45&amp;"_"&amp;screen!$C45&amp;" = "&amp;ROUND(screen!I45,0)&amp;",","")</f>
        <v/>
      </c>
    </row>
    <row r="27" spans="1:5" x14ac:dyDescent="0.2">
      <c r="A27" s="5" t="str">
        <f>screen!$B45&amp;"_"&amp;screen!$C46&amp;" = "&amp;ROUND(screen!E46,0)&amp;","</f>
        <v>grid_start_y = 35470,</v>
      </c>
      <c r="B27" s="5" t="str">
        <f>screen!$B45&amp;"_"&amp;screen!$C46&amp;" = "&amp;ROUND(screen!F46,0)&amp;","</f>
        <v>grid_start_y = 35470,</v>
      </c>
      <c r="C27" s="5" t="str">
        <f>screen!$B45&amp;"_"&amp;screen!$C46&amp;" = "&amp;ROUND(screen!G46,0)&amp;","</f>
        <v>grid_start_y = 779,</v>
      </c>
      <c r="D27" s="5" t="str">
        <f>IF(screen!$H$2&lt;16/9,screen!$B45&amp;"_"&amp;screen!$C46&amp;" = "&amp;ROUND(screen!H46,0)&amp;",","")</f>
        <v/>
      </c>
      <c r="E27" s="5" t="str">
        <f>IF(screen!$H$2&lt;16/9,screen!$B45&amp;"_"&amp;screen!$C46&amp;" = "&amp;ROUND(screen!I46,0)&amp;",","")</f>
        <v/>
      </c>
    </row>
    <row r="28" spans="1:5" x14ac:dyDescent="0.2">
      <c r="A28" s="6" t="str">
        <f>screen!$B47&amp;"_"&amp;screen!$C47&amp;" = "&amp;ROUND(screen!E47,0)&amp;","</f>
        <v>grid_end_x = 64272,</v>
      </c>
      <c r="B28" s="6" t="str">
        <f>screen!$B47&amp;"_"&amp;screen!$C47&amp;" = "&amp;ROUND(screen!F47,0)&amp;","</f>
        <v>grid_end_x = 64595,</v>
      </c>
      <c r="C28" s="6" t="str">
        <f>screen!$B47&amp;"_"&amp;screen!$C47&amp;" = "&amp;ROUND(screen!G47,0)&amp;","</f>
        <v>grid_end_x = 3391,</v>
      </c>
      <c r="D28" s="6" t="str">
        <f>IF(screen!$H$2&lt;16/9,screen!$B47&amp;"_"&amp;screen!$C47&amp;" = "&amp;ROUND(screen!H47,0)&amp;",","")</f>
        <v/>
      </c>
      <c r="E28" s="6" t="str">
        <f>IF(screen!$H$2&lt;16/9,screen!$B47&amp;"_"&amp;screen!$C47&amp;" = "&amp;ROUND(screen!I47,0)&amp;",","")</f>
        <v/>
      </c>
    </row>
    <row r="29" spans="1:5" x14ac:dyDescent="0.2">
      <c r="A29" s="5" t="str">
        <f>screen!$B47&amp;"_"&amp;screen!$C48&amp;" = "&amp;ROUND(screen!E48,0)&amp;","</f>
        <v>grid_end_y = 50608,</v>
      </c>
      <c r="B29" s="5" t="str">
        <f>screen!$B47&amp;"_"&amp;screen!$C48&amp;" = "&amp;ROUND(screen!F48,0)&amp;","</f>
        <v>grid_end_y = 50608,</v>
      </c>
      <c r="C29" s="5" t="str">
        <f>screen!$B47&amp;"_"&amp;screen!$C48&amp;" = "&amp;ROUND(screen!G48,0)&amp;","</f>
        <v>grid_end_y = 1112,</v>
      </c>
      <c r="D29" s="5" t="str">
        <f>IF(screen!$H$2&lt;16/9,screen!$B47&amp;"_"&amp;screen!$C48&amp;" = "&amp;ROUND(screen!H48,0)&amp;",","")</f>
        <v/>
      </c>
      <c r="E29" s="5" t="str">
        <f>IF(screen!$H$2&lt;16/9,screen!$B47&amp;"_"&amp;screen!$C48&amp;" = "&amp;ROUND(screen!I48,0)&amp;",","")</f>
        <v/>
      </c>
    </row>
    <row r="30" spans="1:5" x14ac:dyDescent="0.2">
      <c r="A30" s="6" t="str">
        <f>screen!$B49&amp;"_"&amp;screen!$C49&amp;" = "&amp;ROUND(screen!E49,0)&amp;","</f>
        <v>accept_invite_x = 59030,</v>
      </c>
      <c r="B30" s="6" t="str">
        <f>screen!$B49&amp;"_"&amp;screen!$C49&amp;" = "&amp;ROUND(screen!F49,0)&amp;","</f>
        <v>accept_invite_x = 60694,</v>
      </c>
      <c r="C30" s="6" t="str">
        <f>screen!$B49&amp;"_"&amp;screen!$C49&amp;" = "&amp;ROUND(screen!G49,0)&amp;","</f>
        <v>accept_invite_x = 3186,</v>
      </c>
      <c r="D30" s="6" t="str">
        <f>IF(screen!$H$2&lt;16/9,screen!$B49&amp;"_"&amp;screen!$C49&amp;" = "&amp;ROUND(screen!H49,0)&amp;",","")</f>
        <v/>
      </c>
      <c r="E30" s="6" t="str">
        <f>IF(screen!$H$2&lt;16/9,screen!$B49&amp;"_"&amp;screen!$C49&amp;" = "&amp;ROUND(screen!I49,0)&amp;",","")</f>
        <v/>
      </c>
    </row>
    <row r="31" spans="1:5" x14ac:dyDescent="0.2">
      <c r="A31" s="5" t="str">
        <f>screen!$B49&amp;"_"&amp;screen!$C50&amp;" = "&amp;ROUND(screen!E50,0)&amp;","</f>
        <v>accept_invite_y = 56250,</v>
      </c>
      <c r="B31" s="5" t="str">
        <f>screen!$B49&amp;"_"&amp;screen!$C50&amp;" = "&amp;ROUND(screen!F50,0)&amp;","</f>
        <v>accept_invite_y = 56250,</v>
      </c>
      <c r="C31" s="5" t="str">
        <f>screen!$B49&amp;"_"&amp;screen!$C50&amp;" = "&amp;ROUND(screen!G50,0)&amp;","</f>
        <v>accept_invite_y = 1236,</v>
      </c>
      <c r="D31" s="5" t="str">
        <f>IF(screen!$H$2&lt;16/9,screen!$B49&amp;"_"&amp;screen!$C50&amp;" = "&amp;ROUND(screen!H50,0)&amp;",","")</f>
        <v/>
      </c>
      <c r="E31" s="5" t="str">
        <f>IF(screen!$H$2&lt;16/9,screen!$B49&amp;"_"&amp;screen!$C50&amp;" = "&amp;ROUND(screen!I50,0)&amp;",","")</f>
        <v/>
      </c>
    </row>
    <row r="32" spans="1:5" x14ac:dyDescent="0.2">
      <c r="A32" s="9" t="s">
        <v>67</v>
      </c>
      <c r="B32" s="9" t="s">
        <v>67</v>
      </c>
      <c r="C32" s="9" t="s">
        <v>67</v>
      </c>
      <c r="D32" s="9" t="str">
        <f>IF(screen!$H$2&lt;16/9,"-- left","")</f>
        <v/>
      </c>
      <c r="E32" s="9" t="str">
        <f>IF(screen!$H$2&lt;16/9,"-- left","")</f>
        <v/>
      </c>
    </row>
    <row r="33" spans="1:5" x14ac:dyDescent="0.2">
      <c r="A33" s="6" t="str">
        <f>screen!$B52&amp;"_"&amp;screen!$C52&amp;" = "&amp;ROUND(screen!E52,0)&amp;","</f>
        <v>leave_game_x = 7930,</v>
      </c>
      <c r="B33" s="6" t="str">
        <f>screen!$B52&amp;"_"&amp;screen!$C52&amp;" = "&amp;ROUND(screen!F52,0)&amp;","</f>
        <v>leave_game_x = 5901,</v>
      </c>
      <c r="C33" s="6" t="str">
        <f>screen!$B52&amp;"_"&amp;screen!$C52&amp;" = "&amp;ROUND(screen!G52,0)&amp;","</f>
        <v>leave_game_x = 310,</v>
      </c>
      <c r="D33" s="6" t="str">
        <f>IF(screen!$H$2&lt;16/9,screen!$B52&amp;"_"&amp;screen!$C52&amp;" = "&amp;ROUND(screen!H52,0)&amp;",","")</f>
        <v/>
      </c>
      <c r="E33" s="6" t="str">
        <f>IF(screen!$H$2&lt;16/9,screen!$B52&amp;"_"&amp;screen!$C52&amp;" = "&amp;ROUND(screen!I52,0)&amp;",","")</f>
        <v/>
      </c>
    </row>
    <row r="34" spans="1:5" x14ac:dyDescent="0.2">
      <c r="A34" s="5" t="str">
        <f>screen!$B52&amp;"_"&amp;screen!$C53&amp;" = "&amp;ROUND(screen!E53,0)&amp;","</f>
        <v>leave_game_y = 29275,</v>
      </c>
      <c r="B34" s="5" t="str">
        <f>screen!$B52&amp;"_"&amp;screen!$C53&amp;" = "&amp;ROUND(screen!F53,0)&amp;","</f>
        <v>leave_game_y = 29275,</v>
      </c>
      <c r="C34" s="5" t="str">
        <f>screen!$B52&amp;"_"&amp;screen!$C53&amp;" = "&amp;ROUND(screen!G53,0)&amp;","</f>
        <v>leave_game_y = 643,</v>
      </c>
      <c r="D34" s="5" t="str">
        <f>IF(screen!$H$2&lt;16/9,screen!$B52&amp;"_"&amp;screen!$C53&amp;" = "&amp;ROUND(screen!H53,0)&amp;",","")</f>
        <v/>
      </c>
      <c r="E34" s="5" t="str">
        <f>IF(screen!$H$2&lt;16/9,screen!$B52&amp;"_"&amp;screen!$C53&amp;" = "&amp;ROUND(screen!I53,0)&amp;",","")</f>
        <v/>
      </c>
    </row>
    <row r="35" spans="1:5" x14ac:dyDescent="0.2">
      <c r="A35" s="6" t="str">
        <f>screen!$B54&amp;"_"&amp;screen!$C54&amp;" = "&amp;ROUND(screen!E54,0)&amp;","</f>
        <v>start_game_x = 8192,</v>
      </c>
      <c r="B35" s="6" t="str">
        <f>screen!$B54&amp;"_"&amp;screen!$C54&amp;" = "&amp;ROUND(screen!F54,0)&amp;","</f>
        <v>start_game_x = 6096,</v>
      </c>
      <c r="C35" s="6" t="str">
        <f>screen!$B54&amp;"_"&amp;screen!$C54&amp;" = "&amp;ROUND(screen!G54,0)&amp;","</f>
        <v>start_game_x = 320,</v>
      </c>
      <c r="D35" s="6" t="str">
        <f>IF(screen!$H$2&lt;16/9,screen!$B54&amp;"_"&amp;screen!$C54&amp;" = "&amp;ROUND(screen!H54,0)&amp;",","")</f>
        <v/>
      </c>
      <c r="E35" s="6" t="str">
        <f>IF(screen!$H$2&lt;16/9,screen!$B54&amp;"_"&amp;screen!$C54&amp;" = "&amp;ROUND(screen!I54,0)&amp;",","")</f>
        <v/>
      </c>
    </row>
    <row r="36" spans="1:5" x14ac:dyDescent="0.2">
      <c r="A36" s="5" t="str">
        <f>screen!$B54&amp;"_"&amp;screen!$C55&amp;" = "&amp;ROUND(screen!E55,0)&amp;","</f>
        <v>start_game_y = 31457,</v>
      </c>
      <c r="B36" s="5" t="str">
        <f>screen!$B54&amp;"_"&amp;screen!$C55&amp;" = "&amp;ROUND(screen!F55,0)&amp;","</f>
        <v>start_game_y = 31457,</v>
      </c>
      <c r="C36" s="5" t="str">
        <f>screen!$B54&amp;"_"&amp;screen!$C55&amp;" = "&amp;ROUND(screen!G55,0)&amp;","</f>
        <v>start_game_y = 691,</v>
      </c>
      <c r="D36" s="5" t="str">
        <f>IF(screen!$H$2&lt;16/9,screen!$B54&amp;"_"&amp;screen!$C55&amp;" = "&amp;ROUND(screen!H55,0)&amp;",","")</f>
        <v/>
      </c>
      <c r="E36" s="5" t="str">
        <f>IF(screen!$H$2&lt;16/9,screen!$B54&amp;"_"&amp;screen!$C55&amp;" = "&amp;ROUND(screen!I55,0)&amp;",","")</f>
        <v/>
      </c>
    </row>
    <row r="37" spans="1:5" x14ac:dyDescent="0.2">
      <c r="A37" s="6" t="str">
        <f>screen!$B56&amp;"_"&amp;screen!$C56&amp;" = "&amp;ROUND(screen!E56,0)&amp;","</f>
        <v>cube_material_x = 24576,</v>
      </c>
      <c r="B37" s="6" t="str">
        <f>screen!$B56&amp;"_"&amp;screen!$C56&amp;" = "&amp;ROUND(screen!F56,0)&amp;","</f>
        <v>cube_material_x = 18289,</v>
      </c>
      <c r="C37" s="6" t="str">
        <f>screen!$B56&amp;"_"&amp;screen!$C56&amp;" = "&amp;ROUND(screen!G56,0)&amp;","</f>
        <v>cube_material_x = 960,</v>
      </c>
      <c r="D37" s="6" t="str">
        <f>IF(screen!$H$2&lt;16/9,screen!$B56&amp;"_"&amp;screen!$C56&amp;" = "&amp;ROUND(screen!H56,0)&amp;",","")</f>
        <v/>
      </c>
      <c r="E37" s="6" t="str">
        <f>IF(screen!$H$2&lt;16/9,screen!$B56&amp;"_"&amp;screen!$C56&amp;" = "&amp;ROUND(screen!I56,0)&amp;",","")</f>
        <v/>
      </c>
    </row>
    <row r="38" spans="1:5" x14ac:dyDescent="0.2">
      <c r="A38" s="5" t="str">
        <f>screen!$B56&amp;"_"&amp;screen!$C57&amp;" = "&amp;ROUND(screen!E57,0)&amp;","</f>
        <v>cube_material_y = 51882,</v>
      </c>
      <c r="B38" s="5" t="str">
        <f>screen!$B56&amp;"_"&amp;screen!$C57&amp;" = "&amp;ROUND(screen!F57,0)&amp;","</f>
        <v>cube_material_y = 51882,</v>
      </c>
      <c r="C38" s="5" t="str">
        <f>screen!$B56&amp;"_"&amp;screen!$C57&amp;" = "&amp;ROUND(screen!G57,0)&amp;","</f>
        <v>cube_material_y = 1140,</v>
      </c>
      <c r="D38" s="5" t="str">
        <f>IF(screen!$H$2&lt;16/9,screen!$B56&amp;"_"&amp;screen!$C57&amp;" = "&amp;ROUND(screen!H57,0)&amp;",","")</f>
        <v/>
      </c>
      <c r="E38" s="5" t="str">
        <f>IF(screen!$H$2&lt;16/9,screen!$B56&amp;"_"&amp;screen!$C57&amp;" = "&amp;ROUND(screen!I57,0)&amp;",","")</f>
        <v/>
      </c>
    </row>
    <row r="39" spans="1:5" x14ac:dyDescent="0.2">
      <c r="A39" s="6" t="str">
        <f>screen!$B58&amp;"_"&amp;screen!$C58&amp;" = "&amp;ROUND(screen!E58,0)&amp;","</f>
        <v>cube_accept_x = 8190,</v>
      </c>
      <c r="B39" s="6" t="str">
        <f>screen!$B58&amp;"_"&amp;screen!$C58&amp;" = "&amp;ROUND(screen!F58,0)&amp;","</f>
        <v>cube_accept_x = 6095,</v>
      </c>
      <c r="C39" s="90" t="str">
        <f>screen!$B58&amp;"_"&amp;screen!$C58&amp;" = "&amp;ROUND(screen!G58,0)&amp;","</f>
        <v>cube_accept_x = 320,</v>
      </c>
      <c r="D39" s="6" t="str">
        <f>IF(screen!$H$2&lt;16/9,screen!$B58&amp;"_"&amp;screen!$C58&amp;" = "&amp;ROUND(screen!H58,0)&amp;",","")</f>
        <v/>
      </c>
      <c r="E39" s="6" t="str">
        <f>IF(screen!$H$2&lt;16/9,screen!$B58&amp;"_"&amp;screen!$C58&amp;" = "&amp;ROUND(screen!I58,0)&amp;",","")</f>
        <v/>
      </c>
    </row>
    <row r="40" spans="1:5" x14ac:dyDescent="0.2">
      <c r="A40" s="5" t="str">
        <f>screen!$B58&amp;"_"&amp;screen!$C59&amp;" = "&amp;ROUND(screen!E59,0)&amp;","</f>
        <v>cube_accept_y = 50060,</v>
      </c>
      <c r="B40" s="5" t="str">
        <f>screen!$B58&amp;"_"&amp;screen!$C59&amp;" = "&amp;ROUND(screen!F59,0)&amp;","</f>
        <v>cube_accept_y = 50060,</v>
      </c>
      <c r="C40" s="91" t="str">
        <f>screen!$B58&amp;"_"&amp;screen!$C59&amp;" = "&amp;ROUND(screen!G59,0)&amp;","</f>
        <v>cube_accept_y = 1100,</v>
      </c>
      <c r="D40" s="5" t="str">
        <f>IF(screen!$H$2&lt;16/9,screen!$B58&amp;"_"&amp;screen!$C59&amp;" = "&amp;ROUND(screen!H59,0)&amp;",","")</f>
        <v/>
      </c>
      <c r="E40" s="5" t="str">
        <f>IF(screen!$H$2&lt;16/9,screen!$B58&amp;"_"&amp;screen!$C59&amp;" = "&amp;ROUND(screen!I59,0)&amp;",","")</f>
        <v/>
      </c>
    </row>
    <row r="41" spans="1:5" x14ac:dyDescent="0.2">
      <c r="A41" s="6" t="str">
        <f>screen!$B60&amp;"_"&amp;screen!$C60&amp;" = "&amp;ROUND(screen!E60,0)&amp;","</f>
        <v>cube_previous_x = 20000,</v>
      </c>
      <c r="B41" s="6" t="str">
        <f>screen!$B60&amp;"_"&amp;screen!$C60&amp;" = "&amp;ROUND(screen!F60,0)&amp;","</f>
        <v>cube_previous_x = 14884,</v>
      </c>
      <c r="C41" s="90" t="str">
        <f>screen!$B60&amp;"_"&amp;screen!$C60&amp;" = "&amp;ROUND(screen!G60,0)&amp;","</f>
        <v>cube_previous_x = 781,</v>
      </c>
      <c r="D41" s="6" t="str">
        <f>IF(screen!$H$2&lt;16/9,screen!$B60&amp;"_"&amp;screen!$C60&amp;" = "&amp;ROUND(screen!H60,0)&amp;",","")</f>
        <v/>
      </c>
      <c r="E41" s="6" t="str">
        <f>IF(screen!$H$2&lt;16/9,screen!$B60&amp;"_"&amp;screen!$C60&amp;" = "&amp;ROUND(screen!I60,0)&amp;",","")</f>
        <v/>
      </c>
    </row>
    <row r="42" spans="1:5" x14ac:dyDescent="0.2">
      <c r="A42" s="5" t="str">
        <f>screen!$B60&amp;"_"&amp;screen!$C61&amp;" = "&amp;ROUND(screen!E61,0)&amp;","</f>
        <v>cube_previous_y = 50500,</v>
      </c>
      <c r="B42" s="5" t="str">
        <f>screen!$B60&amp;"_"&amp;screen!$C61&amp;" = "&amp;ROUND(screen!F61,0)&amp;","</f>
        <v>cube_previous_y = 50500,</v>
      </c>
      <c r="C42" s="91" t="str">
        <f>screen!$B60&amp;"_"&amp;screen!$C61&amp;" = "&amp;ROUND(screen!G61,0)&amp;","</f>
        <v>cube_previous_y = 1110,</v>
      </c>
      <c r="D42" s="5" t="str">
        <f>IF(screen!$H$2&lt;16/9,screen!$B60&amp;"_"&amp;screen!$C61&amp;" = "&amp;ROUND(screen!H61,0)&amp;",","")</f>
        <v/>
      </c>
      <c r="E42" s="5" t="str">
        <f>IF(screen!$H$2&lt;16/9,screen!$B60&amp;"_"&amp;screen!$C61&amp;" = "&amp;ROUND(screen!I61,0)&amp;",","")</f>
        <v/>
      </c>
    </row>
    <row r="43" spans="1:5" x14ac:dyDescent="0.2">
      <c r="A43" s="6" t="str">
        <f>screen!$B62&amp;"_"&amp;screen!$C62&amp;" = "&amp;ROUND(screen!E62,0)&amp;","</f>
        <v>cube_next_x = 29000,</v>
      </c>
      <c r="B43" s="6" t="str">
        <f>screen!$B62&amp;"_"&amp;screen!$C62&amp;" = "&amp;ROUND(screen!F62,0)&amp;","</f>
        <v>cube_next_x = 21581,</v>
      </c>
      <c r="C43" s="90" t="str">
        <f>screen!$B62&amp;"_"&amp;screen!$C62&amp;" = "&amp;ROUND(screen!G62,0)&amp;","</f>
        <v>cube_next_x = 1133,</v>
      </c>
      <c r="D43" s="6" t="str">
        <f>IF(screen!$H$2&lt;16/9,screen!$B62&amp;"_"&amp;screen!$C62&amp;" = "&amp;ROUND(screen!H62,0)&amp;",","")</f>
        <v/>
      </c>
      <c r="E43" s="6" t="str">
        <f>IF(screen!$H$2&lt;16/9,screen!$B62&amp;"_"&amp;screen!$C62&amp;" = "&amp;ROUND(screen!I62,0)&amp;",","")</f>
        <v/>
      </c>
    </row>
    <row r="44" spans="1:5" x14ac:dyDescent="0.2">
      <c r="A44" s="5" t="str">
        <f>screen!$B62&amp;"_"&amp;screen!$C63&amp;" = "&amp;ROUND(screen!E63,0)&amp;","</f>
        <v>cube_next_y = 50500,</v>
      </c>
      <c r="B44" s="5" t="str">
        <f>screen!$B62&amp;"_"&amp;screen!$C63&amp;" = "&amp;ROUND(screen!F63,0)&amp;","</f>
        <v>cube_next_y = 50500,</v>
      </c>
      <c r="C44" s="5" t="str">
        <f>screen!$B62&amp;"_"&amp;screen!$C63&amp;" = "&amp;ROUND(screen!G63,0)&amp;","</f>
        <v>cube_next_y = 1110,</v>
      </c>
      <c r="D44" s="5" t="str">
        <f>IF(screen!$H$2&lt;16/9,screen!$B62&amp;"_"&amp;screen!$C63&amp;" = "&amp;ROUND(screen!H63,0)&amp;",","")</f>
        <v/>
      </c>
      <c r="E44" s="5" t="str">
        <f>IF(screen!$H$2&lt;16/9,screen!$B62&amp;"_"&amp;screen!$C63&amp;" = "&amp;ROUND(screen!I63,0)&amp;",","")</f>
        <v/>
      </c>
    </row>
    <row r="45" spans="1:5" x14ac:dyDescent="0.2">
      <c r="A45" s="6" t="str">
        <f>screen!$B64&amp;"_"&amp;screen!$C64&amp;" = "&amp;ROUND(screen!E64,0)&amp;","</f>
        <v>cube_grid_1_x = 7078,</v>
      </c>
      <c r="B45" s="6" t="str">
        <f>screen!$B64&amp;"_"&amp;screen!$C64&amp;" = "&amp;ROUND(screen!F64,0)&amp;","</f>
        <v>cube_grid_1_x = 5267,</v>
      </c>
      <c r="C45" s="6" t="str">
        <f>screen!$B64&amp;"_"&amp;screen!$C64&amp;" = "&amp;ROUND(screen!G64,0)&amp;","</f>
        <v>cube_grid_1_x = 276,</v>
      </c>
      <c r="D45" s="6" t="str">
        <f>IF(screen!$H$2&lt;16/9,screen!$B64&amp;"_"&amp;screen!$C64&amp;" = "&amp;ROUND(screen!H64,0)&amp;",","")</f>
        <v/>
      </c>
      <c r="E45" s="6" t="str">
        <f>IF(screen!$H$2&lt;16/9,screen!$B64&amp;"_"&amp;screen!$C64&amp;" = "&amp;ROUND(screen!I64,0)&amp;",","")</f>
        <v/>
      </c>
    </row>
    <row r="46" spans="1:5" x14ac:dyDescent="0.2">
      <c r="A46" s="5" t="str">
        <f>screen!$B64&amp;"_"&amp;screen!$C65&amp;" = "&amp;ROUND(screen!E65,0)&amp;","</f>
        <v>cube_grid_1_y = 24576,</v>
      </c>
      <c r="B46" s="5" t="str">
        <f>screen!$B64&amp;"_"&amp;screen!$C65&amp;" = "&amp;ROUND(screen!F65,0)&amp;","</f>
        <v>cube_grid_1_y = 24576,</v>
      </c>
      <c r="C46" s="5" t="str">
        <f>screen!$B64&amp;"_"&amp;screen!$C65&amp;" = "&amp;ROUND(screen!G65,0)&amp;","</f>
        <v>cube_grid_1_y = 540,</v>
      </c>
      <c r="D46" s="5" t="str">
        <f>IF(screen!$H$2&lt;16/9,screen!$B64&amp;"_"&amp;screen!$C65&amp;" = "&amp;ROUND(screen!H65,0)&amp;",","")</f>
        <v/>
      </c>
      <c r="E46" s="5" t="str">
        <f>IF(screen!$H$2&lt;16/9,screen!$B64&amp;"_"&amp;screen!$C65&amp;" = "&amp;ROUND(screen!I65,0)&amp;",","")</f>
        <v/>
      </c>
    </row>
    <row r="47" spans="1:5" x14ac:dyDescent="0.2">
      <c r="A47" s="6" t="str">
        <f>screen!$B66&amp;"_"&amp;screen!$C66&amp;" = "&amp;ROUND(screen!E66,0)&amp;","</f>
        <v>mate_2_icon_x = 2151,</v>
      </c>
      <c r="B47" s="6" t="str">
        <f>screen!$B66&amp;"_"&amp;screen!$C66&amp;" = "&amp;ROUND(screen!F66,0)&amp;","</f>
        <v>mate_2_icon_x = 1601,</v>
      </c>
      <c r="C47" s="6" t="str">
        <f>screen!$B66&amp;"_"&amp;screen!$C66&amp;" = "&amp;ROUND(screen!G66,0)&amp;","</f>
        <v>mate_2_icon_x = 84,</v>
      </c>
      <c r="D47" s="6" t="str">
        <f>IF(screen!$H$2&lt;16/9,screen!$B66&amp;"_"&amp;screen!$C66&amp;" = "&amp;ROUND(screen!H66,0)&amp;",","")</f>
        <v/>
      </c>
      <c r="E47" s="6" t="str">
        <f>IF(screen!$H$2&lt;16/9,screen!$B66&amp;"_"&amp;screen!$C66&amp;" = "&amp;ROUND(screen!I66,0)&amp;",","")</f>
        <v/>
      </c>
    </row>
    <row r="48" spans="1:5" x14ac:dyDescent="0.2">
      <c r="A48" s="5" t="str">
        <f>screen!$B66&amp;"_"&amp;screen!$C67&amp;" = "&amp;ROUND(screen!E67,0)&amp;","</f>
        <v>mate_2_icon_y = 15063,</v>
      </c>
      <c r="B48" s="5" t="str">
        <f>screen!$B66&amp;"_"&amp;screen!$C67&amp;" = "&amp;ROUND(screen!F67,0)&amp;","</f>
        <v>mate_2_icon_y = 15063,</v>
      </c>
      <c r="C48" s="5" t="str">
        <f>screen!$B66&amp;"_"&amp;screen!$C67&amp;" = "&amp;ROUND(screen!G67,0)&amp;","</f>
        <v>mate_2_icon_y = 331,</v>
      </c>
      <c r="D48" s="5" t="str">
        <f>IF(screen!$H$2&lt;16/9,screen!$B66&amp;"_"&amp;screen!$C67&amp;" = "&amp;ROUND(screen!H67,0)&amp;",","")</f>
        <v/>
      </c>
      <c r="E48" s="5" t="str">
        <f>IF(screen!$H$2&lt;16/9,screen!$B66&amp;"_"&amp;screen!$C67&amp;" = "&amp;ROUND(screen!I67,0)&amp;",","")</f>
        <v/>
      </c>
    </row>
    <row r="49" spans="1:5" x14ac:dyDescent="0.2">
      <c r="A49" s="6" t="str">
        <f>screen!$B68&amp;"_"&amp;screen!$C68&amp;" = "&amp;ROUND(screen!E68,0)&amp;","</f>
        <v>mate_2_tp_x = 4781,</v>
      </c>
      <c r="B49" s="6" t="str">
        <f>screen!$B68&amp;"_"&amp;screen!$C68&amp;" = "&amp;ROUND(screen!F68,0)&amp;","</f>
        <v>mate_2_tp_x = 3558,</v>
      </c>
      <c r="C49" s="6" t="str">
        <f>screen!$B68&amp;"_"&amp;screen!$C68&amp;" = "&amp;ROUND(screen!G68,0)&amp;","</f>
        <v>mate_2_tp_x = 187,</v>
      </c>
      <c r="D49" s="6" t="str">
        <f>IF(screen!$H$2&lt;16/9,screen!$B68&amp;"_"&amp;screen!$C68&amp;" = "&amp;ROUND(screen!H68,0)&amp;",","")</f>
        <v/>
      </c>
      <c r="E49" s="6" t="str">
        <f>IF(screen!$H$2&lt;16/9,screen!$B68&amp;"_"&amp;screen!$C68&amp;" = "&amp;ROUND(screen!I68,0)&amp;",","")</f>
        <v/>
      </c>
    </row>
    <row r="50" spans="1:5" x14ac:dyDescent="0.2">
      <c r="A50" s="5" t="str">
        <f>screen!$B68&amp;"_"&amp;screen!$C69&amp;" = "&amp;ROUND(screen!E69,0)&amp;","</f>
        <v>mate_2_tp_y = 23566,</v>
      </c>
      <c r="B50" s="5" t="str">
        <f>screen!$B68&amp;"_"&amp;screen!$C69&amp;" = "&amp;ROUND(screen!F69,0)&amp;","</f>
        <v>mate_2_tp_y = 23566,</v>
      </c>
      <c r="C50" s="5" t="str">
        <f>screen!$B68&amp;"_"&amp;screen!$C69&amp;" = "&amp;ROUND(screen!G69,0)&amp;","</f>
        <v>mate_2_tp_y = 518,</v>
      </c>
      <c r="D50" s="5" t="str">
        <f>IF(screen!$H$2&lt;16/9,screen!$B68&amp;"_"&amp;screen!$C69&amp;" = "&amp;ROUND(screen!H69,0)&amp;",","")</f>
        <v/>
      </c>
      <c r="E50" s="5" t="str">
        <f>IF(screen!$H$2&lt;16/9,screen!$B68&amp;"_"&amp;screen!$C69&amp;" = "&amp;ROUND(screen!I69,0)&amp;",","")</f>
        <v/>
      </c>
    </row>
    <row r="51" spans="1:5" x14ac:dyDescent="0.2">
      <c r="A51" s="6" t="str">
        <f>screen!$B70&amp;"_"&amp;screen!$C70&amp;" = "&amp;ROUND(screen!E70,0)&amp;","</f>
        <v>flwer_icon_x = 5243,</v>
      </c>
      <c r="B51" s="6" t="str">
        <f>screen!$B70&amp;"_"&amp;screen!$C70&amp;" = "&amp;ROUND(screen!F70,0)&amp;","</f>
        <v>flwer_icon_x = 3902,</v>
      </c>
      <c r="C51" s="6" t="str">
        <f>screen!$B70&amp;"_"&amp;screen!$C70&amp;" = "&amp;ROUND(screen!G70,0)&amp;","</f>
        <v>flwer_icon_x = 205,</v>
      </c>
      <c r="D51" s="6" t="str">
        <f>IF(screen!$H$2&lt;16/9,screen!$B70&amp;"_"&amp;screen!$C70&amp;" = "&amp;ROUND(screen!H70,0)&amp;",","")</f>
        <v/>
      </c>
      <c r="E51" s="6" t="str">
        <f>IF(screen!$H$2&lt;16/9,screen!$B70&amp;"_"&amp;screen!$C70&amp;" = "&amp;ROUND(screen!I70,0)&amp;",","")</f>
        <v/>
      </c>
    </row>
    <row r="52" spans="1:5" x14ac:dyDescent="0.2">
      <c r="A52" s="5" t="str">
        <f>screen!$B70&amp;"_"&amp;screen!$C71&amp;" = "&amp;ROUND(screen!E71,0)&amp;","</f>
        <v>flwer_icon_y = 2752,</v>
      </c>
      <c r="B52" s="5" t="str">
        <f>screen!$B70&amp;"_"&amp;screen!$C71&amp;" = "&amp;ROUND(screen!F71,0)&amp;","</f>
        <v>flwer_icon_y = 2752,</v>
      </c>
      <c r="C52" s="5" t="str">
        <f>screen!$B70&amp;"_"&amp;screen!$C71&amp;" = "&amp;ROUND(screen!G71,0)&amp;","</f>
        <v>flwer_icon_y = 60,</v>
      </c>
      <c r="D52" s="5" t="str">
        <f>IF(screen!$H$2&lt;16/9,screen!$B70&amp;"_"&amp;screen!$C71&amp;" = "&amp;ROUND(screen!H71,0)&amp;",","")</f>
        <v/>
      </c>
      <c r="E52" s="5" t="str">
        <f>IF(screen!$H$2&lt;16/9,screen!$B70&amp;"_"&amp;screen!$C71&amp;" = "&amp;ROUND(screen!I71,0)&amp;",","")</f>
        <v/>
      </c>
    </row>
    <row r="53" spans="1:5" x14ac:dyDescent="0.2">
      <c r="A53" s="6" t="str">
        <f>screen!$B72&amp;"_"&amp;screen!$C72&amp;" = "&amp;ROUND(screen!E72,0)&amp;","</f>
        <v>flwer_dismiss_x = 9503,</v>
      </c>
      <c r="B53" s="6" t="str">
        <f>screen!$B72&amp;"_"&amp;screen!$C72&amp;" = "&amp;ROUND(screen!F72,0)&amp;","</f>
        <v>flwer_dismiss_x = 7072,</v>
      </c>
      <c r="C53" s="6" t="str">
        <f>screen!$B72&amp;"_"&amp;screen!$C72&amp;" = "&amp;ROUND(screen!G72,0)&amp;","</f>
        <v>flwer_dismiss_x = 371,</v>
      </c>
      <c r="D53" s="6" t="str">
        <f>IF(screen!$H$2&lt;16/9,screen!$B72&amp;"_"&amp;screen!$C72&amp;" = "&amp;ROUND(screen!H72,0)&amp;",","")</f>
        <v/>
      </c>
      <c r="E53" s="6" t="str">
        <f>IF(screen!$H$2&lt;16/9,screen!$B72&amp;"_"&amp;screen!$C72&amp;" = "&amp;ROUND(screen!I72,0)&amp;",","")</f>
        <v/>
      </c>
    </row>
    <row r="54" spans="1:5" x14ac:dyDescent="0.2">
      <c r="A54" s="5" t="str">
        <f>screen!$B72&amp;"_"&amp;screen!$C73&amp;" = "&amp;ROUND(screen!E73,0)&amp;","</f>
        <v>flwer_dismiss_y = 9699,</v>
      </c>
      <c r="B54" s="5" t="str">
        <f>screen!$B72&amp;"_"&amp;screen!$C73&amp;" = "&amp;ROUND(screen!F73,0)&amp;","</f>
        <v>flwer_dismiss_y = 9699,</v>
      </c>
      <c r="C54" s="5" t="str">
        <f>screen!$B72&amp;"_"&amp;screen!$C73&amp;" = "&amp;ROUND(screen!G73,0)&amp;","</f>
        <v>flwer_dismiss_y = 213,</v>
      </c>
      <c r="D54" s="5" t="str">
        <f>IF(screen!$H$2&lt;16/9,screen!$B72&amp;"_"&amp;screen!$C73&amp;" = "&amp;ROUND(screen!H73,0)&amp;",","")</f>
        <v/>
      </c>
      <c r="E54" s="5" t="str">
        <f>IF(screen!$H$2&lt;16/9,screen!$B72&amp;"_"&amp;screen!$C73&amp;" = "&amp;ROUND(screen!I73,0)&amp;",","")</f>
        <v/>
      </c>
    </row>
    <row r="55" spans="1:5" x14ac:dyDescent="0.2">
      <c r="A55" s="10" t="s">
        <v>71</v>
      </c>
      <c r="B55" s="10" t="s">
        <v>71</v>
      </c>
      <c r="C55" s="10" t="s">
        <v>71</v>
      </c>
      <c r="D55" s="10" t="str">
        <f>IF(screen!$H$2&lt;16/9,"}","")</f>
        <v/>
      </c>
      <c r="E55" s="10" t="str">
        <f>IF(screen!$H$2&lt;16/9,"}","")</f>
        <v/>
      </c>
    </row>
  </sheetData>
  <mergeCells count="1">
    <mergeCell ref="A1:E1"/>
  </mergeCells>
  <phoneticPr fontId="1" type="noConversion"/>
  <pageMargins left="0.7" right="0.7" top="0.75" bottom="0.75" header="0.3" footer="0.3"/>
  <pageSetup paperSize="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59679-DDEC-9344-B139-9D27BA6E6854}">
  <dimension ref="A1:E32"/>
  <sheetViews>
    <sheetView workbookViewId="0">
      <selection activeCell="A24" sqref="A24:XFD24"/>
    </sheetView>
  </sheetViews>
  <sheetFormatPr defaultColWidth="11" defaultRowHeight="14.25" x14ac:dyDescent="0.2"/>
  <cols>
    <col min="1" max="2" width="46.125" bestFit="1" customWidth="1"/>
    <col min="3" max="3" width="47.875" bestFit="1" customWidth="1"/>
    <col min="4" max="4" width="46.125" bestFit="1" customWidth="1"/>
    <col min="5" max="5" width="47.875" bestFit="1" customWidth="1"/>
  </cols>
  <sheetData>
    <row r="1" spans="1:5" ht="25.5" x14ac:dyDescent="0.2">
      <c r="A1" s="107" t="str">
        <f>screen!F1</f>
        <v>3440/1440</v>
      </c>
      <c r="B1" s="107"/>
      <c r="C1" s="107"/>
      <c r="D1" s="107"/>
      <c r="E1" s="107"/>
    </row>
    <row r="2" spans="1:5" ht="15.75" x14ac:dyDescent="0.2">
      <c r="A2" s="1" t="s">
        <v>12</v>
      </c>
      <c r="B2" s="4" t="s">
        <v>3</v>
      </c>
      <c r="C2" s="1" t="s">
        <v>4</v>
      </c>
      <c r="D2" s="4" t="s">
        <v>39</v>
      </c>
      <c r="E2" s="2" t="s">
        <v>40</v>
      </c>
    </row>
    <row r="3" spans="1:5" x14ac:dyDescent="0.2">
      <c r="A3" s="7" t="s">
        <v>70</v>
      </c>
      <c r="B3" s="7" t="str">
        <f>"[0] = { -- "&amp;$A$1</f>
        <v>[0] = { -- 3440/1440</v>
      </c>
      <c r="C3" s="7" t="str">
        <f>"["&amp;screen!$H$4&amp;"] = { "</f>
        <v xml:space="preserve">[1440] = { </v>
      </c>
      <c r="D3" s="7" t="str">
        <f>IF(screen!$H$2&lt;16/9,"[0] = { -- "&amp;$A$1&amp;" 黑邊","")</f>
        <v/>
      </c>
      <c r="E3" s="7" t="str">
        <f>IF(screen!$H$2&lt;16/9,"["&amp;screen!$H$4&amp;"] = { -- 黑邊","")</f>
        <v/>
      </c>
    </row>
    <row r="4" spans="1:5" x14ac:dyDescent="0.2">
      <c r="A4" s="12" t="s">
        <v>79</v>
      </c>
      <c r="B4" s="12" t="s">
        <v>79</v>
      </c>
      <c r="C4" s="12" t="s">
        <v>79</v>
      </c>
      <c r="D4" s="12" t="str">
        <f>IF(screen!$H$2&lt;16/9,"--center","")</f>
        <v/>
      </c>
      <c r="E4" s="12" t="str">
        <f>IF(screen!$H$2&lt;16/9,"--center","")</f>
        <v/>
      </c>
    </row>
    <row r="5" spans="1:5" x14ac:dyDescent="0.2">
      <c r="A5" s="11" t="str">
        <f>screen!$B10&amp;" = {"&amp;ROUND(screen!E10,0)&amp;", "&amp;ROUND(screen!E11,0)&amp;"},"</f>
        <v>mid = {32768, 32768},</v>
      </c>
      <c r="B5" s="11" t="str">
        <f>screen!$B10&amp;" = {"&amp;ROUND(screen!F10,0)&amp;", "&amp;ROUND(screen!F11,0)&amp;"},"</f>
        <v>mid = {32768, 32768},</v>
      </c>
      <c r="C5" s="11" t="str">
        <f>screen!$B10&amp;" = {"&amp;ROUND(screen!G10,0)&amp;", "&amp;ROUND(screen!G11,0)&amp;"},"</f>
        <v>mid = {1720, 720},</v>
      </c>
      <c r="D5" s="11" t="str">
        <f>IF(screen!$H$2&lt;16/9,screen!$B10&amp;" = {"&amp;ROUND(screen!H10,0)&amp;", "&amp;ROUND(screen!H11,0)&amp;"},","")</f>
        <v/>
      </c>
      <c r="E5" s="11" t="str">
        <f>IF(screen!$H$2&lt;16/9,screen!$B10&amp;" = {"&amp;ROUND(screen!I10,0)&amp;", "&amp;ROUND(screen!I11,0)&amp;"},","")</f>
        <v/>
      </c>
    </row>
    <row r="6" spans="1:5" x14ac:dyDescent="0.2">
      <c r="A6" s="11" t="str">
        <f>screen!$B12&amp;" = {{"&amp;ROUND(screen!E12,0)&amp;", "&amp;ROUND(screen!E14,0)&amp;", "&amp;ROUND(screen!E16,0)&amp;", "&amp;ROUND(screen!E18,0)&amp;"}, "&amp;ROUND(screen!E13,0)&amp;"},"</f>
        <v>p_tab = {{20832, 28618, 36575, 44601}, 6800},</v>
      </c>
      <c r="B6" s="11" t="str">
        <f>screen!$B12&amp;" = {{"&amp;ROUND(screen!F12,0)&amp;", "&amp;ROUND(screen!F14,0)&amp;", "&amp;ROUND(screen!F16,0)&amp;", "&amp;ROUND(screen!F18,0)&amp;"}, "&amp;ROUND(screen!F13,0)&amp;"},"</f>
        <v>p_tab = {{23885, 29680, 35601, 41574}, 6800},</v>
      </c>
      <c r="C6" s="11" t="str">
        <f>screen!$B12&amp;" = {{"&amp;ROUND(screen!G12,0)&amp;", "&amp;ROUND(screen!G14,0)&amp;", "&amp;ROUND(screen!G16,0)&amp;", "&amp;ROUND(screen!G18,0)&amp;"}, "&amp;ROUND(screen!G13,0)&amp;"},"</f>
        <v>p_tab = {{1254, 1558, 1869, 2182}, 149},</v>
      </c>
      <c r="D6" s="11" t="str">
        <f>IF(screen!$H$2&lt;16/9,screen!$B12&amp;" = {{"&amp;ROUND(screen!H12,0)&amp;", "&amp;ROUND(screen!H14,0)&amp;", "&amp;ROUND(screen!H16,0)&amp;", "&amp;ROUND(screen!H18,0)&amp;"}, "&amp;ROUND(screen!H13,0)&amp;"},","")</f>
        <v/>
      </c>
      <c r="E6" s="11" t="str">
        <f>IF(screen!$H$2&lt;16/9,screen!$B12&amp;" = {{"&amp;ROUND(screen!I12,0)&amp;", "&amp;ROUND(screen!I14,0)&amp;", "&amp;ROUND(screen!I16,0)&amp;", "&amp;ROUND(screen!I18,0)&amp;"}, "&amp;ROUND(screen!I13,0)&amp;"},","")</f>
        <v/>
      </c>
    </row>
    <row r="7" spans="1:5" x14ac:dyDescent="0.2">
      <c r="A7" s="11" t="str">
        <f>screen!$B20&amp;" = {"&amp;ROUND(screen!E20,0)&amp;", {"&amp;ROUND(screen!E21,0)&amp;", "&amp;ROUND(screen!E23,0)&amp;", "&amp;ROUND(screen!E25,0)&amp;", "&amp;ROUND(screen!E27,0)&amp;"}},"</f>
        <v>p_add = {43500, {37171, 31522, 26056, 20347}},</v>
      </c>
      <c r="B7" s="11" t="str">
        <f>screen!$B20&amp;" = {"&amp;ROUND(screen!F20,0)&amp;", {"&amp;ROUND(screen!F21,0)&amp;", "&amp;ROUND(screen!F23,0)&amp;", "&amp;ROUND(screen!F25,0)&amp;", "&amp;ROUND(screen!F27,0)&amp;"}},"</f>
        <v>p_add = {40754, {37171, 31522, 26056, 20347}},</v>
      </c>
      <c r="C7" s="11" t="str">
        <f>screen!$B20&amp;" = {"&amp;ROUND(screen!G20,0)&amp;", {"&amp;ROUND(screen!G21,0)&amp;", "&amp;ROUND(screen!G23,0)&amp;", "&amp;ROUND(screen!G25,0)&amp;", "&amp;ROUND(screen!G27,0)&amp;"}},"</f>
        <v>p_add = {2139, {817, 693, 573, 447}},</v>
      </c>
      <c r="D7" s="11" t="str">
        <f>IF(screen!$H$2&lt;16/9,screen!$B20&amp;" = {"&amp;ROUND(screen!H20,0)&amp;", {"&amp;ROUND(screen!H21,0)&amp;", "&amp;ROUND(screen!H23,0)&amp;", "&amp;ROUND(screen!H25,0)&amp;", "&amp;ROUND(screen!H27,0)&amp;"}},","")</f>
        <v/>
      </c>
      <c r="E7" s="11" t="str">
        <f>IF(screen!$H$2&lt;16/9,screen!$B20&amp;" = {"&amp;ROUND(screen!I20,0)&amp;", {"&amp;ROUND(screen!I21,0)&amp;", "&amp;ROUND(screen!I23,0)&amp;", "&amp;ROUND(screen!I25,0)&amp;", "&amp;ROUND(screen!I27,0)&amp;"}},","")</f>
        <v/>
      </c>
    </row>
    <row r="8" spans="1:5" x14ac:dyDescent="0.2">
      <c r="A8" s="11" t="str">
        <f>screen!$B28&amp;" = {"&amp;ROUND(screen!E28,0)&amp;", "&amp;ROUND(screen!E29,0)&amp;"},"</f>
        <v>p_reset = {32819, 44520},</v>
      </c>
      <c r="B8" s="11" t="str">
        <f>screen!$B28&amp;" = {"&amp;ROUND(screen!F28,0)&amp;", "&amp;ROUND(screen!F29,0)&amp;"},"</f>
        <v>p_reset = {32806, 44520},</v>
      </c>
      <c r="C8" s="11" t="str">
        <f>screen!$B28&amp;" = {"&amp;ROUND(screen!G28,0)&amp;", "&amp;ROUND(screen!G29,0)&amp;"},"</f>
        <v>p_reset = {1722, 978},</v>
      </c>
      <c r="D8" s="11" t="str">
        <f>IF(screen!$H$2&lt;16/9,screen!$B28&amp;" = {"&amp;ROUND(screen!H28,0)&amp;", "&amp;ROUND(screen!H29,0)&amp;"},","")</f>
        <v/>
      </c>
      <c r="E8" s="11" t="str">
        <f>IF(screen!$H$2&lt;16/9,screen!$B28&amp;" = {"&amp;ROUND(screen!I28,0)&amp;", "&amp;ROUND(screen!I29,0)&amp;"},","")</f>
        <v/>
      </c>
    </row>
    <row r="9" spans="1:5" x14ac:dyDescent="0.2">
      <c r="A9" s="11" t="str">
        <f>screen!$B30&amp;" = {"&amp;ROUND(screen!E30,0)&amp;", "&amp;ROUND(screen!E31,0)&amp;"},"</f>
        <v>p_accept = {28311, 49500},</v>
      </c>
      <c r="B9" s="11" t="str">
        <f>screen!$B30&amp;" = {"&amp;ROUND(screen!F30,0)&amp;", "&amp;ROUND(screen!F31,0)&amp;"},"</f>
        <v>p_accept = {29451, 49500},</v>
      </c>
      <c r="C9" s="11" t="str">
        <f>screen!$B30&amp;" = {"&amp;ROUND(screen!G30,0)&amp;", "&amp;ROUND(screen!G31,0)&amp;"},"</f>
        <v>p_accept = {1546, 1088},</v>
      </c>
      <c r="D9" s="11" t="str">
        <f>IF(screen!$H$2&lt;16/9,screen!$B30&amp;" = {"&amp;ROUND(screen!H30,0)&amp;", "&amp;ROUND(screen!H31,0)&amp;"},","")</f>
        <v/>
      </c>
      <c r="E9" s="11" t="str">
        <f>IF(screen!$H$2&lt;16/9,screen!$B30&amp;" = {"&amp;ROUND(screen!I30,0)&amp;", "&amp;ROUND(screen!I31,0)&amp;"},","")</f>
        <v/>
      </c>
    </row>
    <row r="10" spans="1:5" x14ac:dyDescent="0.2">
      <c r="A10" s="11" t="str">
        <f>screen!$B32&amp;" = {"&amp;ROUND(screen!E32,0)&amp;", "&amp;ROUND(screen!E33,0)&amp;"},"</f>
        <v>a1_icon = {25135, 37475},</v>
      </c>
      <c r="B10" s="11" t="str">
        <f>screen!$B32&amp;" = {"&amp;ROUND(screen!F32,0)&amp;", "&amp;ROUND(screen!F33,0)&amp;"},"</f>
        <v>a1_icon = {27088, 37475},</v>
      </c>
      <c r="C10" s="11" t="str">
        <f>screen!$B32&amp;" = {"&amp;ROUND(screen!G32,0)&amp;", "&amp;ROUND(screen!G33,0)&amp;"},"</f>
        <v>a1_icon = {1422, 823},</v>
      </c>
      <c r="D10" s="11" t="str">
        <f>IF(screen!$H$2&lt;16/9,screen!$B32&amp;" = {"&amp;ROUND(screen!H32,0)&amp;", "&amp;ROUND(screen!H33,0)&amp;"},","")</f>
        <v/>
      </c>
      <c r="E10" s="11" t="str">
        <f>IF(screen!$H$2&lt;16/9,screen!$B32&amp;" = {"&amp;ROUND(screen!I32,0)&amp;", "&amp;ROUND(screen!I33,0)&amp;"},","")</f>
        <v/>
      </c>
    </row>
    <row r="11" spans="1:5" x14ac:dyDescent="0.2">
      <c r="A11" s="11" t="str">
        <f>screen!$B34&amp;" = {"&amp;ROUND(screen!E34,0)&amp;", "&amp;ROUND(screen!E35,0)&amp;"},"</f>
        <v>a1_town = {34697, 29336},</v>
      </c>
      <c r="B11" s="11" t="str">
        <f>screen!$B34&amp;" = {"&amp;ROUND(screen!F34,0)&amp;", "&amp;ROUND(screen!F35,0)&amp;"},"</f>
        <v>a1_town = {34203, 29336},</v>
      </c>
      <c r="C11" s="11" t="str">
        <f>screen!$B34&amp;" = {"&amp;ROUND(screen!G34,0)&amp;", "&amp;ROUND(screen!G35,0)&amp;"},"</f>
        <v>a1_town = {1795, 645},</v>
      </c>
      <c r="D11" s="11" t="str">
        <f>IF(screen!$H$2&lt;16/9,screen!$B34&amp;" = {"&amp;ROUND(screen!H34,0)&amp;", "&amp;ROUND(screen!H35,0)&amp;"},","")</f>
        <v/>
      </c>
      <c r="E11" s="11" t="str">
        <f>IF(screen!$H$2&lt;16/9,screen!$B34&amp;" = {"&amp;ROUND(screen!I34,0)&amp;", "&amp;ROUND(screen!I35,0)&amp;"},","")</f>
        <v/>
      </c>
    </row>
    <row r="12" spans="1:5" x14ac:dyDescent="0.2">
      <c r="A12" s="11" t="str">
        <f>screen!$B36&amp;" = {"&amp;ROUND(screen!E36,0)&amp;", "&amp;ROUND(screen!E37,0)&amp;"},"</f>
        <v>a2_icon = {37088, 31462},</v>
      </c>
      <c r="B12" s="11" t="str">
        <f>screen!$B36&amp;" = {"&amp;ROUND(screen!F36,0)&amp;", "&amp;ROUND(screen!F37,0)&amp;"},"</f>
        <v>a2_icon = {35983, 31462},</v>
      </c>
      <c r="C12" s="11" t="str">
        <f>screen!$B36&amp;" = {"&amp;ROUND(screen!G36,0)&amp;", "&amp;ROUND(screen!G37,0)&amp;"},"</f>
        <v>a2_icon = {1889, 691},</v>
      </c>
      <c r="D12" s="11" t="str">
        <f>IF(screen!$H$2&lt;16/9,screen!$B36&amp;" = {"&amp;ROUND(screen!H36,0)&amp;", "&amp;ROUND(screen!H37,0)&amp;"},","")</f>
        <v/>
      </c>
      <c r="E12" s="11" t="str">
        <f>IF(screen!$H$2&lt;16/9,screen!$B36&amp;" = {"&amp;ROUND(screen!I36,0)&amp;", "&amp;ROUND(screen!I37,0)&amp;"},","")</f>
        <v/>
      </c>
    </row>
    <row r="13" spans="1:5" x14ac:dyDescent="0.2">
      <c r="A13" s="11" t="str">
        <f>screen!$B38&amp;" = {"&amp;ROUND(screen!E38,0)&amp;", "&amp;ROUND(screen!E39,0)&amp;"},"</f>
        <v>a2_town = {35380, 47618},</v>
      </c>
      <c r="B13" s="11" t="str">
        <f>screen!$B38&amp;" = {"&amp;ROUND(screen!F38,0)&amp;", "&amp;ROUND(screen!F39,0)&amp;"},"</f>
        <v>a2_town = {34712, 47618},</v>
      </c>
      <c r="C13" s="11" t="str">
        <f>screen!$B38&amp;" = {"&amp;ROUND(screen!G38,0)&amp;", "&amp;ROUND(screen!G39,0)&amp;"},"</f>
        <v>a2_town = {1822, 1046},</v>
      </c>
      <c r="D13" s="11" t="str">
        <f>IF(screen!$H$2&lt;16/9,screen!$B38&amp;" = {"&amp;ROUND(screen!H38,0)&amp;", "&amp;ROUND(screen!H39,0)&amp;"},","")</f>
        <v/>
      </c>
      <c r="E13" s="11" t="str">
        <f>IF(screen!$H$2&lt;16/9,screen!$B38&amp;" = {"&amp;ROUND(screen!I38,0)&amp;", "&amp;ROUND(screen!I39,0)&amp;"},","")</f>
        <v/>
      </c>
    </row>
    <row r="14" spans="1:5" x14ac:dyDescent="0.2">
      <c r="A14" s="11" t="str">
        <f>screen!$B40&amp;" = {"&amp;ROUND(screen!E40,0)&amp;", "&amp;ROUND(screen!E41,0)&amp;"},"</f>
        <v>leave_team = {29004, 39867},</v>
      </c>
      <c r="B14" s="11" t="str">
        <f>screen!$B40&amp;" = {"&amp;ROUND(screen!F40,0)&amp;", "&amp;ROUND(screen!F41,0)&amp;"},"</f>
        <v>leave_team = {29967, 39867},</v>
      </c>
      <c r="C14" s="11" t="str">
        <f>screen!$B40&amp;" = {"&amp;ROUND(screen!G40,0)&amp;", "&amp;ROUND(screen!G41,0)&amp;"},"</f>
        <v>leave_team = {1573, 876},</v>
      </c>
      <c r="D14" s="11" t="str">
        <f>IF(screen!$H$2&lt;16/9,screen!$B40&amp;" = {"&amp;ROUND(screen!H40,0)&amp;", "&amp;ROUND(screen!H41,0)&amp;"},","")</f>
        <v/>
      </c>
      <c r="E14" s="11" t="str">
        <f>IF(screen!$H$2&lt;16/9,screen!$B40&amp;" = {"&amp;ROUND(screen!I40,0)&amp;", "&amp;ROUND(screen!I41,0)&amp;"},","")</f>
        <v/>
      </c>
    </row>
    <row r="15" spans="1:5" x14ac:dyDescent="0.2">
      <c r="A15" s="11" t="str">
        <f>screen!$B42&amp;" = {"&amp;ROUND(screen!E42,0)&amp;", "&amp;ROUND(screen!E43,0)&amp;"},"</f>
        <v>role_ori = {32768, 30700},</v>
      </c>
      <c r="B15" s="11" t="str">
        <f>screen!$B42&amp;" = {"&amp;ROUND(screen!F42,0)&amp;", "&amp;ROUND(screen!F43,0)&amp;"},"</f>
        <v>role_ori = {32768, 30700},</v>
      </c>
      <c r="C15" s="11" t="str">
        <f>screen!$B42&amp;" = {"&amp;ROUND(screen!G42,0)&amp;", "&amp;ROUND(screen!G43,0)&amp;"},"</f>
        <v>role_ori = {1720, 675},</v>
      </c>
      <c r="D15" s="11" t="str">
        <f>IF(screen!$H$2&lt;16/9,screen!$B42&amp;" = {"&amp;ROUND(screen!H42,0)&amp;", "&amp;ROUND(screen!H43,0)&amp;"},","")</f>
        <v/>
      </c>
      <c r="E15" s="11" t="str">
        <f>IF(screen!$H$2&lt;16/9,screen!$B42&amp;" = {"&amp;ROUND(screen!I42,0)&amp;", "&amp;ROUND(screen!I43,0)&amp;"},","")</f>
        <v/>
      </c>
    </row>
    <row r="16" spans="1:5" x14ac:dyDescent="0.2">
      <c r="A16" s="12" t="s">
        <v>68</v>
      </c>
      <c r="B16" s="12" t="s">
        <v>68</v>
      </c>
      <c r="C16" s="12" t="s">
        <v>68</v>
      </c>
      <c r="D16" s="9" t="str">
        <f>IF(screen!$H$2&lt;16/9,"-- right","")</f>
        <v/>
      </c>
      <c r="E16" s="9" t="str">
        <f>IF(screen!$H$2&lt;16/9,"-- right","")</f>
        <v/>
      </c>
    </row>
    <row r="17" spans="1:5" x14ac:dyDescent="0.2">
      <c r="A17" s="11" t="str">
        <f>screen!$B45&amp;" = {"&amp;ROUND(screen!E45,0)&amp;", "&amp;ROUND(screen!E46,0)&amp;"},"</f>
        <v>grid_start = {48747, 35470},</v>
      </c>
      <c r="B17" s="11" t="str">
        <f>screen!$B45&amp;" = {"&amp;ROUND(screen!F45,0)&amp;", "&amp;ROUND(screen!F46,0)&amp;"},"</f>
        <v>grid_start = {53042, 35470},</v>
      </c>
      <c r="C17" s="11" t="str">
        <f>screen!$B45&amp;" = {"&amp;ROUND(screen!G45,0)&amp;", "&amp;ROUND(screen!G46,0)&amp;"},"</f>
        <v>grid_start = {2784, 779},</v>
      </c>
      <c r="D17" s="11" t="str">
        <f>IF(screen!$H$2&lt;16/9,screen!$B45&amp;" = {"&amp;ROUND(screen!H45,0)&amp;", "&amp;ROUND(screen!H46,0)&amp;"},","")</f>
        <v/>
      </c>
      <c r="E17" s="11" t="str">
        <f>IF(screen!$H$2&lt;16/9,screen!$B45&amp;" = {"&amp;ROUND(screen!I45,0)&amp;", "&amp;ROUND(screen!I46,0)&amp;"},","")</f>
        <v/>
      </c>
    </row>
    <row r="18" spans="1:5" x14ac:dyDescent="0.2">
      <c r="A18" s="11" t="str">
        <f>screen!$B47&amp;" = {"&amp;ROUND(screen!E47,0)&amp;", "&amp;ROUND(screen!E48,0)&amp;"},"</f>
        <v>grid_end = {64272, 50608},</v>
      </c>
      <c r="B18" s="11" t="str">
        <f>screen!$B47&amp;" = {"&amp;ROUND(screen!F47,0)&amp;", "&amp;ROUND(screen!F48,0)&amp;"},"</f>
        <v>grid_end = {64595, 50608},</v>
      </c>
      <c r="C18" s="11" t="str">
        <f>screen!$B47&amp;" = {"&amp;ROUND(screen!G47,0)&amp;", "&amp;ROUND(screen!G48,0)&amp;"},"</f>
        <v>grid_end = {3391, 1112},</v>
      </c>
      <c r="D18" s="11" t="str">
        <f>IF(screen!$H$2&lt;16/9,screen!$B47&amp;" = {"&amp;ROUND(screen!H47,0)&amp;", "&amp;ROUND(screen!H48,0)&amp;"},","")</f>
        <v/>
      </c>
      <c r="E18" s="11" t="str">
        <f>IF(screen!$H$2&lt;16/9,screen!$B47&amp;" = {"&amp;ROUND(screen!I47,0)&amp;", "&amp;ROUND(screen!I48,0)&amp;"},","")</f>
        <v/>
      </c>
    </row>
    <row r="19" spans="1:5" x14ac:dyDescent="0.2">
      <c r="A19" s="11" t="str">
        <f>screen!$B49&amp;" = {"&amp;ROUND(screen!E49,0)&amp;", "&amp;ROUND(screen!E50,0)&amp;"},"</f>
        <v>accept_invite = {59030, 56250},</v>
      </c>
      <c r="B19" s="11" t="str">
        <f>screen!$B49&amp;" = {"&amp;ROUND(screen!F49,0)&amp;", "&amp;ROUND(screen!F50,0)&amp;"},"</f>
        <v>accept_invite = {60694, 56250},</v>
      </c>
      <c r="C19" s="11" t="str">
        <f>screen!$B49&amp;" = {"&amp;ROUND(screen!G49,0)&amp;", "&amp;ROUND(screen!G50,0)&amp;"},"</f>
        <v>accept_invite = {3186, 1236},</v>
      </c>
      <c r="D19" s="11" t="str">
        <f>IF(screen!$H$2&lt;16/9,screen!$B49&amp;" = {"&amp;ROUND(screen!H49,0)&amp;", "&amp;ROUND(screen!H50,0)&amp;"},","")</f>
        <v/>
      </c>
      <c r="E19" s="11" t="str">
        <f>IF(screen!$H$2&lt;16/9,screen!$B49&amp;" = {"&amp;ROUND(screen!I49,0)&amp;", "&amp;ROUND(screen!I50,0)&amp;"},","")</f>
        <v/>
      </c>
    </row>
    <row r="20" spans="1:5" x14ac:dyDescent="0.2">
      <c r="A20" s="12" t="s">
        <v>67</v>
      </c>
      <c r="B20" s="12" t="s">
        <v>67</v>
      </c>
      <c r="C20" s="12" t="s">
        <v>67</v>
      </c>
      <c r="D20" s="9" t="str">
        <f>IF(screen!$H$2&lt;16/9,"-- left","")</f>
        <v/>
      </c>
      <c r="E20" s="9" t="str">
        <f>IF(screen!$H$2&lt;16/9,"-- left","")</f>
        <v/>
      </c>
    </row>
    <row r="21" spans="1:5" x14ac:dyDescent="0.2">
      <c r="A21" s="11" t="str">
        <f>screen!$B52&amp;" = {"&amp;ROUND(screen!E52,0)&amp;", "&amp;ROUND(screen!E53,0)&amp;"},"</f>
        <v>leave_game = {7930, 29275},</v>
      </c>
      <c r="B21" s="11" t="str">
        <f>screen!$B52&amp;" = {"&amp;ROUND(screen!F52,0)&amp;", "&amp;ROUND(screen!F53,0)&amp;"},"</f>
        <v>leave_game = {5901, 29275},</v>
      </c>
      <c r="C21" s="11" t="str">
        <f>screen!$B52&amp;" = {"&amp;ROUND(screen!G52,0)&amp;", "&amp;ROUND(screen!G53,0)&amp;"},"</f>
        <v>leave_game = {310, 643},</v>
      </c>
      <c r="D21" s="11" t="str">
        <f>IF(screen!$H$2&lt;16/9,screen!$B52&amp;" = {"&amp;ROUND(screen!H52,0)&amp;", "&amp;ROUND(screen!H53,0)&amp;"},","")</f>
        <v/>
      </c>
      <c r="E21" s="11" t="str">
        <f>IF(screen!$H$2&lt;16/9,screen!$B52&amp;" = {"&amp;ROUND(screen!I52,0)&amp;", "&amp;ROUND(screen!I53,0)&amp;"},","")</f>
        <v/>
      </c>
    </row>
    <row r="22" spans="1:5" x14ac:dyDescent="0.2">
      <c r="A22" s="11" t="str">
        <f>screen!$B54&amp;" = {"&amp;ROUND(screen!E54,0)&amp;", "&amp;ROUND(screen!E55,0)&amp;"},"</f>
        <v>start_game = {8192, 31457},</v>
      </c>
      <c r="B22" s="11" t="str">
        <f>screen!$B54&amp;" = {"&amp;ROUND(screen!F54,0)&amp;", "&amp;ROUND(screen!F55,0)&amp;"},"</f>
        <v>start_game = {6096, 31457},</v>
      </c>
      <c r="C22" s="11" t="str">
        <f>screen!$B54&amp;" = {"&amp;ROUND(screen!G54,0)&amp;", "&amp;ROUND(screen!G55,0)&amp;"},"</f>
        <v>start_game = {320, 691},</v>
      </c>
      <c r="D22" s="11" t="str">
        <f>IF(screen!$H$2&lt;16/9,screen!$B54&amp;" = {"&amp;ROUND(screen!H54,0)&amp;", "&amp;ROUND(screen!H55,0)&amp;"},","")</f>
        <v/>
      </c>
      <c r="E22" s="11" t="str">
        <f>IF(screen!$H$2&lt;16/9,screen!$B54&amp;" = {"&amp;ROUND(screen!I54,0)&amp;", "&amp;ROUND(screen!I55,0)&amp;"},","")</f>
        <v/>
      </c>
    </row>
    <row r="23" spans="1:5" x14ac:dyDescent="0.2">
      <c r="A23" s="11" t="str">
        <f>screen!$B56&amp;" = {"&amp;ROUND(screen!E56,0)&amp;", "&amp;ROUND(screen!E57,0)&amp;"},"</f>
        <v>cube_material = {24576, 51882},</v>
      </c>
      <c r="B23" s="11" t="str">
        <f>screen!$B56&amp;" = {"&amp;ROUND(screen!F56,0)&amp;", "&amp;ROUND(screen!F57,0)&amp;"},"</f>
        <v>cube_material = {18289, 51882},</v>
      </c>
      <c r="C23" s="92" t="str">
        <f>screen!$B56&amp;" = {"&amp;ROUND(screen!G56,0)&amp;", "&amp;ROUND(screen!G57,0)&amp;"},"</f>
        <v>cube_material = {960, 1140},</v>
      </c>
      <c r="D23" s="11" t="str">
        <f>IF(screen!$H$2&lt;16/9,screen!$B56&amp;" = {"&amp;ROUND(screen!H56,0)&amp;", "&amp;ROUND(screen!H57,0)&amp;"},","")</f>
        <v/>
      </c>
      <c r="E23" s="11" t="str">
        <f>IF(screen!$H$2&lt;16/9,screen!$B56&amp;" = {"&amp;ROUND(screen!I56,0)&amp;", "&amp;ROUND(screen!I57,0)&amp;"},","")</f>
        <v/>
      </c>
    </row>
    <row r="24" spans="1:5" x14ac:dyDescent="0.2">
      <c r="A24" s="11" t="str">
        <f>screen!$B58&amp;" = {"&amp;ROUND(screen!E58,0)&amp;", "&amp;ROUND(screen!E59,0)&amp;"},"</f>
        <v>cube_accept = {8190, 50060},</v>
      </c>
      <c r="B24" s="11" t="str">
        <f>screen!$B58&amp;" = {"&amp;ROUND(screen!F58,0)&amp;", "&amp;ROUND(screen!F59,0)&amp;"},"</f>
        <v>cube_accept = {6095, 50060},</v>
      </c>
      <c r="C24" s="92" t="str">
        <f>screen!$B58&amp;" = {"&amp;ROUND(screen!G58,0)&amp;", "&amp;ROUND(screen!G59,0)&amp;"},"</f>
        <v>cube_accept = {320, 1100},</v>
      </c>
      <c r="D24" s="11" t="str">
        <f>IF(screen!$H$2&lt;16/9,screen!$B58&amp;" = {"&amp;ROUND(screen!H58,0)&amp;", "&amp;ROUND(screen!H59,0)&amp;"},","")</f>
        <v/>
      </c>
      <c r="E24" s="11" t="str">
        <f>IF(screen!$H$2&lt;16/9,screen!$B58&amp;" = {"&amp;ROUND(screen!I58,0)&amp;", "&amp;ROUND(screen!I59,0)&amp;"},","")</f>
        <v/>
      </c>
    </row>
    <row r="25" spans="1:5" x14ac:dyDescent="0.2">
      <c r="A25" s="11" t="str">
        <f>screen!$B60&amp;" = {"&amp;ROUND(screen!E60,0)&amp;", "&amp;ROUND(screen!E61,0)&amp;"},"</f>
        <v>cube_previous = {20000, 50500},</v>
      </c>
      <c r="B25" s="11" t="str">
        <f>screen!$B60&amp;" = {"&amp;ROUND(screen!F60,0)&amp;", "&amp;ROUND(screen!F61,0)&amp;"},"</f>
        <v>cube_previous = {14884, 50500},</v>
      </c>
      <c r="C25" s="92" t="str">
        <f>screen!$B60&amp;" = {"&amp;ROUND(screen!G60,0)&amp;", "&amp;ROUND(screen!G61,0)&amp;"},"</f>
        <v>cube_previous = {781, 1110},</v>
      </c>
      <c r="D25" s="11" t="str">
        <f>IF(screen!$H$2&lt;16/9,screen!$B60&amp;" = {"&amp;ROUND(screen!H60,0)&amp;", "&amp;ROUND(screen!H61,0)&amp;"},","")</f>
        <v/>
      </c>
      <c r="E25" s="11" t="str">
        <f>IF(screen!$H$2&lt;16/9,screen!$B60&amp;" = {"&amp;ROUND(screen!I60,0)&amp;", "&amp;ROUND(screen!I61,0)&amp;"},","")</f>
        <v/>
      </c>
    </row>
    <row r="26" spans="1:5" x14ac:dyDescent="0.2">
      <c r="A26" s="11" t="str">
        <f>screen!$B62&amp;" = {"&amp;ROUND(screen!E62,0)&amp;", "&amp;ROUND(screen!E63,0)&amp;"},"</f>
        <v>cube_next = {29000, 50500},</v>
      </c>
      <c r="B26" s="11" t="str">
        <f>screen!$B62&amp;" = {"&amp;ROUND(screen!F62,0)&amp;", "&amp;ROUND(screen!F63,0)&amp;"},"</f>
        <v>cube_next = {21581, 50500},</v>
      </c>
      <c r="C26" s="92" t="str">
        <f>screen!$B62&amp;" = {"&amp;ROUND(screen!G62,0)&amp;", "&amp;ROUND(screen!G63,0)&amp;"},"</f>
        <v>cube_next = {1133, 1110},</v>
      </c>
      <c r="D26" s="11" t="str">
        <f>IF(screen!$H$2&lt;16/9,screen!$B62&amp;" = {"&amp;ROUND(screen!H62,0)&amp;", "&amp;ROUND(screen!H63,0)&amp;"},","")</f>
        <v/>
      </c>
      <c r="E26" s="11" t="str">
        <f>IF(screen!$H$2&lt;16/9,screen!$B62&amp;" = {"&amp;ROUND(screen!I62,0)&amp;", "&amp;ROUND(screen!I63,0)&amp;"},","")</f>
        <v/>
      </c>
    </row>
    <row r="27" spans="1:5" x14ac:dyDescent="0.2">
      <c r="A27" s="11" t="str">
        <f>screen!$B64&amp;" = {"&amp;ROUND(screen!E64,0)&amp;", "&amp;ROUND(screen!E65,0)&amp;"},"</f>
        <v>cube_grid_1 = {7078, 24576},</v>
      </c>
      <c r="B27" s="11" t="str">
        <f>screen!$B64&amp;" = {"&amp;ROUND(screen!F64,0)&amp;", "&amp;ROUND(screen!F65,0)&amp;"},"</f>
        <v>cube_grid_1 = {5267, 24576},</v>
      </c>
      <c r="C27" s="11" t="str">
        <f>screen!$B64&amp;" = {"&amp;ROUND(screen!G64,0)&amp;", "&amp;ROUND(screen!G65,0)&amp;"},"</f>
        <v>cube_grid_1 = {276, 540},</v>
      </c>
      <c r="D27" s="11" t="str">
        <f>IF(screen!$H$2&lt;16/9,screen!$B64&amp;" = {"&amp;ROUND(screen!H64,0)&amp;", "&amp;ROUND(screen!H65,0)&amp;"},","")</f>
        <v/>
      </c>
      <c r="E27" s="11" t="str">
        <f>IF(screen!$H$2&lt;16/9,screen!$B64&amp;" = {"&amp;ROUND(screen!I64,0)&amp;", "&amp;ROUND(screen!I65,0)&amp;"},","")</f>
        <v/>
      </c>
    </row>
    <row r="28" spans="1:5" x14ac:dyDescent="0.2">
      <c r="A28" s="11" t="str">
        <f>screen!$B66&amp;" = {"&amp;ROUND(screen!E66,0)&amp;", "&amp;ROUND(screen!E67,0)&amp;"},"</f>
        <v>mate_2_icon = {2151, 15063},</v>
      </c>
      <c r="B28" s="11" t="str">
        <f>screen!$B66&amp;" = {"&amp;ROUND(screen!F66,0)&amp;", "&amp;ROUND(screen!F67,0)&amp;"},"</f>
        <v>mate_2_icon = {1601, 15063},</v>
      </c>
      <c r="C28" s="11" t="str">
        <f>screen!$B66&amp;" = {"&amp;ROUND(screen!G66,0)&amp;", "&amp;ROUND(screen!G67,0)&amp;"},"</f>
        <v>mate_2_icon = {84, 331},</v>
      </c>
      <c r="D28" s="11" t="str">
        <f>IF(screen!$H$2&lt;16/9,screen!$B66&amp;" = {"&amp;ROUND(screen!H66,0)&amp;", "&amp;ROUND(screen!H67,0)&amp;"},","")</f>
        <v/>
      </c>
      <c r="E28" s="11" t="str">
        <f>IF(screen!$H$2&lt;16/9,screen!$B66&amp;" = {"&amp;ROUND(screen!I66,0)&amp;", "&amp;ROUND(screen!I67,0)&amp;"},","")</f>
        <v/>
      </c>
    </row>
    <row r="29" spans="1:5" x14ac:dyDescent="0.2">
      <c r="A29" s="11" t="str">
        <f>screen!$B68&amp;" = {"&amp;ROUND(screen!E68,0)&amp;", "&amp;ROUND(screen!E69,0)&amp;"},"</f>
        <v>mate_2_tp = {4781, 23566},</v>
      </c>
      <c r="B29" s="11" t="str">
        <f>screen!$B68&amp;" = {"&amp;ROUND(screen!F68,0)&amp;", "&amp;ROUND(screen!F69,0)&amp;"},"</f>
        <v>mate_2_tp = {3558, 23566},</v>
      </c>
      <c r="C29" s="11" t="str">
        <f>screen!$B68&amp;" = {"&amp;ROUND(screen!G68,0)&amp;", "&amp;ROUND(screen!G69,0)&amp;"},"</f>
        <v>mate_2_tp = {187, 518},</v>
      </c>
      <c r="D29" s="11" t="str">
        <f>IF(screen!$H$2&lt;16/9,screen!$B68&amp;" = {"&amp;ROUND(screen!H68,0)&amp;", "&amp;ROUND(screen!H69,0)&amp;"},","")</f>
        <v/>
      </c>
      <c r="E29" s="11" t="str">
        <f>IF(screen!$H$2&lt;16/9,screen!$B68&amp;" = {"&amp;ROUND(screen!I68,0)&amp;", "&amp;ROUND(screen!I69,0)&amp;"},","")</f>
        <v/>
      </c>
    </row>
    <row r="30" spans="1:5" x14ac:dyDescent="0.2">
      <c r="A30" s="11" t="str">
        <f>screen!$B70&amp;" = {"&amp;ROUND(screen!E70,0)&amp;", "&amp;ROUND(screen!E71,0)&amp;"},"</f>
        <v>flwer_icon = {5243, 2752},</v>
      </c>
      <c r="B30" s="11" t="str">
        <f>screen!$B70&amp;" = {"&amp;ROUND(screen!F70,0)&amp;", "&amp;ROUND(screen!F71,0)&amp;"},"</f>
        <v>flwer_icon = {3902, 2752},</v>
      </c>
      <c r="C30" s="11" t="str">
        <f>screen!$B70&amp;" = {"&amp;ROUND(screen!G70,0)&amp;", "&amp;ROUND(screen!G71,0)&amp;"},"</f>
        <v>flwer_icon = {205, 60},</v>
      </c>
      <c r="D30" s="11" t="str">
        <f>IF(screen!$H$2&lt;16/9,screen!$B70&amp;" = {"&amp;ROUND(screen!H70,0)&amp;", "&amp;ROUND(screen!H71,0)&amp;"},","")</f>
        <v/>
      </c>
      <c r="E30" s="11" t="str">
        <f>IF(screen!$H$2&lt;16/9,screen!$B70&amp;" = {"&amp;ROUND(screen!I70,0)&amp;", "&amp;ROUND(screen!I71,0)&amp;"},","")</f>
        <v/>
      </c>
    </row>
    <row r="31" spans="1:5" x14ac:dyDescent="0.2">
      <c r="A31" s="11" t="str">
        <f>screen!$B72&amp;" = {"&amp;ROUND(screen!E72,0)&amp;", "&amp;ROUND(screen!E73,0)&amp;"},"</f>
        <v>flwer_dismiss = {9503, 9699},</v>
      </c>
      <c r="B31" s="11" t="str">
        <f>screen!$B72&amp;" = {"&amp;ROUND(screen!F72,0)&amp;", "&amp;ROUND(screen!F73,0)&amp;"},"</f>
        <v>flwer_dismiss = {7072, 9699},</v>
      </c>
      <c r="C31" s="11" t="str">
        <f>screen!$B72&amp;" = {"&amp;ROUND(screen!G72,0)&amp;", "&amp;ROUND(screen!G73,0)&amp;"},"</f>
        <v>flwer_dismiss = {371, 213},</v>
      </c>
      <c r="D31" s="11" t="str">
        <f>IF(screen!$H$2&lt;16/9,screen!$B72&amp;" = {"&amp;ROUND(screen!H72,0)&amp;", "&amp;ROUND(screen!H73,0)&amp;"},","")</f>
        <v/>
      </c>
      <c r="E31" s="11" t="str">
        <f>IF(screen!$H$2&lt;16/9,screen!$B72&amp;" = {"&amp;ROUND(screen!I72,0)&amp;", "&amp;ROUND(screen!I73,0)&amp;"},","")</f>
        <v/>
      </c>
    </row>
    <row r="32" spans="1:5" x14ac:dyDescent="0.2">
      <c r="A32" s="10" t="s">
        <v>71</v>
      </c>
      <c r="B32" s="10" t="s">
        <v>71</v>
      </c>
      <c r="C32" s="10" t="s">
        <v>71</v>
      </c>
      <c r="D32" s="10" t="str">
        <f>IF(screen!$H$2&lt;16/9,"}","")</f>
        <v/>
      </c>
      <c r="E32" s="10" t="str">
        <f>IF(screen!$H$2&lt;16/9,"}","")</f>
        <v/>
      </c>
    </row>
  </sheetData>
  <mergeCells count="1">
    <mergeCell ref="A1:E1"/>
  </mergeCells>
  <phoneticPr fontId="1" type="noConversion"/>
  <pageMargins left="0.7" right="0.7" top="0.75" bottom="0.75" header="0.3" footer="0.3"/>
  <pageSetup paperSize="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screen</vt:lpstr>
      <vt:lpstr>lua table</vt:lpstr>
      <vt:lpstr>lua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Fish</dc:creator>
  <cp:lastModifiedBy>iVox</cp:lastModifiedBy>
  <cp:lastPrinted>2019-10-07T05:32:39Z</cp:lastPrinted>
  <dcterms:created xsi:type="dcterms:W3CDTF">2019-10-07T04:49:48Z</dcterms:created>
  <dcterms:modified xsi:type="dcterms:W3CDTF">2023-05-23T14:30:36Z</dcterms:modified>
</cp:coreProperties>
</file>