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ldE\fireballs\18-Dec-2018\"/>
    </mc:Choice>
  </mc:AlternateContent>
  <bookViews>
    <workbookView minimized="1" xWindow="0" yWindow="0" windowWidth="18960" windowHeight="8715"/>
  </bookViews>
  <sheets>
    <sheet name="List of stations" sheetId="1" r:id="rId1"/>
    <sheet name="Energy Estimate" sheetId="24" r:id="rId2"/>
    <sheet name="Sheet2" sheetId="25" r:id="rId3"/>
    <sheet name="Sheet1" sheetId="26" r:id="rId4"/>
  </sheets>
  <calcPr calcId="152511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4" i="1"/>
  <c r="O24" i="1" l="1"/>
  <c r="V35" i="24" l="1"/>
  <c r="V34" i="24"/>
  <c r="V33" i="24"/>
  <c r="AL20" i="24" l="1"/>
  <c r="AK20" i="24"/>
  <c r="AD20" i="24"/>
  <c r="AC20" i="24"/>
  <c r="AB20" i="24"/>
  <c r="AA20" i="24"/>
  <c r="Z20" i="24"/>
  <c r="Y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AF19" i="1"/>
  <c r="S19" i="1"/>
  <c r="T19" i="1" s="1"/>
  <c r="Q19" i="1"/>
  <c r="AJ19" i="1"/>
  <c r="H19" i="1"/>
  <c r="I19" i="1" s="1"/>
  <c r="I24" i="1" s="1"/>
  <c r="P33" i="24" l="1"/>
  <c r="W24" i="1" l="1"/>
  <c r="V24" i="1"/>
  <c r="AF18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4" i="1"/>
  <c r="S4" i="1" l="1"/>
  <c r="T4" i="1" s="1"/>
  <c r="Q4" i="1"/>
  <c r="Q6" i="1" l="1"/>
  <c r="Q24" i="1" s="1"/>
  <c r="Q28" i="1" s="1"/>
  <c r="Q7" i="1"/>
  <c r="Q8" i="1"/>
  <c r="Q9" i="1"/>
  <c r="Q10" i="1"/>
  <c r="Q11" i="1"/>
  <c r="Q12" i="1"/>
  <c r="Q13" i="1"/>
  <c r="Q14" i="1"/>
  <c r="Q15" i="1"/>
  <c r="Q16" i="1"/>
  <c r="Q17" i="1"/>
  <c r="Q18" i="1"/>
  <c r="Q5" i="1"/>
  <c r="AK14" i="24" l="1"/>
  <c r="AL14" i="24"/>
  <c r="Y14" i="24"/>
  <c r="Z14" i="24"/>
  <c r="AB14" i="24"/>
  <c r="AC14" i="24"/>
  <c r="AD14" i="24"/>
  <c r="R14" i="24"/>
  <c r="S14" i="24"/>
  <c r="T14" i="24"/>
  <c r="U14" i="24"/>
  <c r="O14" i="24"/>
  <c r="P14" i="24"/>
  <c r="Q14" i="24"/>
  <c r="L14" i="24"/>
  <c r="M14" i="24"/>
  <c r="N14" i="24"/>
  <c r="D14" i="24"/>
  <c r="E14" i="24"/>
  <c r="F14" i="24"/>
  <c r="G14" i="24"/>
  <c r="H14" i="24"/>
  <c r="I14" i="24"/>
  <c r="J14" i="24"/>
  <c r="K14" i="24"/>
  <c r="C14" i="24"/>
  <c r="S13" i="1"/>
  <c r="T13" i="1" s="1"/>
  <c r="AJ13" i="1"/>
  <c r="AA14" i="24" s="1"/>
  <c r="H13" i="1"/>
  <c r="I13" i="1"/>
  <c r="C18" i="24" l="1"/>
  <c r="D18" i="24"/>
  <c r="E18" i="24"/>
  <c r="F18" i="24"/>
  <c r="G18" i="24"/>
  <c r="H18" i="24"/>
  <c r="I18" i="24"/>
  <c r="J18" i="24"/>
  <c r="K18" i="24"/>
  <c r="L18" i="24"/>
  <c r="M18" i="24"/>
  <c r="N18" i="24"/>
  <c r="O18" i="24"/>
  <c r="Q18" i="24"/>
  <c r="R18" i="24"/>
  <c r="S18" i="24"/>
  <c r="T18" i="24"/>
  <c r="U18" i="24"/>
  <c r="AB18" i="24"/>
  <c r="AE19" i="24" s="1"/>
  <c r="AF20" i="24" s="1"/>
  <c r="AC18" i="24"/>
  <c r="AD18" i="24"/>
  <c r="AK18" i="24"/>
  <c r="AL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Q19" i="24"/>
  <c r="R19" i="24"/>
  <c r="S19" i="24"/>
  <c r="T19" i="24"/>
  <c r="U19" i="24"/>
  <c r="AB19" i="24"/>
  <c r="AC19" i="24"/>
  <c r="AD19" i="24"/>
  <c r="AK19" i="24"/>
  <c r="AL19" i="24"/>
  <c r="S18" i="1"/>
  <c r="T18" i="1" s="1"/>
  <c r="S17" i="1"/>
  <c r="T17" i="1" s="1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Q17" i="24"/>
  <c r="R17" i="24"/>
  <c r="S17" i="24"/>
  <c r="T17" i="24"/>
  <c r="U17" i="24"/>
  <c r="AB17" i="24"/>
  <c r="AE18" i="24" s="1"/>
  <c r="AF19" i="24" s="1"/>
  <c r="AC17" i="24"/>
  <c r="AD17" i="24"/>
  <c r="AK17" i="24"/>
  <c r="AL17" i="24"/>
  <c r="S16" i="1"/>
  <c r="T16" i="1" s="1"/>
  <c r="O25" i="1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Q16" i="24"/>
  <c r="R16" i="24"/>
  <c r="S16" i="24"/>
  <c r="T16" i="24"/>
  <c r="U16" i="24"/>
  <c r="AB16" i="24"/>
  <c r="AI17" i="24" s="1"/>
  <c r="AJ18" i="24" s="1"/>
  <c r="AC16" i="24"/>
  <c r="AD16" i="24"/>
  <c r="AK16" i="24"/>
  <c r="AL16" i="24"/>
  <c r="S15" i="1"/>
  <c r="T15" i="1" s="1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Q15" i="24"/>
  <c r="R15" i="24"/>
  <c r="S15" i="24"/>
  <c r="T15" i="24"/>
  <c r="U15" i="24"/>
  <c r="AB15" i="24"/>
  <c r="AE16" i="24" s="1"/>
  <c r="AF17" i="24" s="1"/>
  <c r="AC15" i="24"/>
  <c r="AD15" i="24"/>
  <c r="AK15" i="24"/>
  <c r="AL15" i="24"/>
  <c r="S14" i="1"/>
  <c r="T14" i="1" s="1"/>
  <c r="V29" i="24"/>
  <c r="W29" i="24"/>
  <c r="X29" i="24"/>
  <c r="AL6" i="24"/>
  <c r="AK6" i="24"/>
  <c r="AJ6" i="24"/>
  <c r="AI6" i="24"/>
  <c r="AI29" i="24" s="1"/>
  <c r="AH6" i="24"/>
  <c r="AG6" i="24"/>
  <c r="AG29" i="24" s="1"/>
  <c r="AF6" i="24"/>
  <c r="AE6" i="24"/>
  <c r="AD6" i="24"/>
  <c r="AC6" i="24"/>
  <c r="AB6" i="24"/>
  <c r="U6" i="24"/>
  <c r="T6" i="24"/>
  <c r="S6" i="24"/>
  <c r="R6" i="24"/>
  <c r="Q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C8" i="24"/>
  <c r="C9" i="24"/>
  <c r="C10" i="24"/>
  <c r="C11" i="24"/>
  <c r="C12" i="24"/>
  <c r="C13" i="24"/>
  <c r="C7" i="24"/>
  <c r="D8" i="24"/>
  <c r="E8" i="24"/>
  <c r="F8" i="24"/>
  <c r="G8" i="24"/>
  <c r="H8" i="24"/>
  <c r="I8" i="24"/>
  <c r="J8" i="24"/>
  <c r="K8" i="24"/>
  <c r="L8" i="24"/>
  <c r="M8" i="24"/>
  <c r="N8" i="24"/>
  <c r="O8" i="24"/>
  <c r="Q8" i="24"/>
  <c r="R8" i="24"/>
  <c r="S8" i="24"/>
  <c r="T8" i="24"/>
  <c r="U8" i="24"/>
  <c r="AB8" i="24"/>
  <c r="AE9" i="24" s="1"/>
  <c r="AF10" i="24" s="1"/>
  <c r="AC8" i="24"/>
  <c r="AD8" i="24"/>
  <c r="AK8" i="24"/>
  <c r="AL8" i="24"/>
  <c r="D9" i="24"/>
  <c r="E9" i="24"/>
  <c r="F9" i="24"/>
  <c r="G9" i="24"/>
  <c r="H9" i="24"/>
  <c r="I9" i="24"/>
  <c r="J9" i="24"/>
  <c r="K9" i="24"/>
  <c r="L9" i="24"/>
  <c r="M9" i="24"/>
  <c r="N9" i="24"/>
  <c r="O9" i="24"/>
  <c r="Q9" i="24"/>
  <c r="R9" i="24"/>
  <c r="S9" i="24"/>
  <c r="T9" i="24"/>
  <c r="U9" i="24"/>
  <c r="AB9" i="24"/>
  <c r="AE10" i="24" s="1"/>
  <c r="AF11" i="24" s="1"/>
  <c r="AC9" i="24"/>
  <c r="AD9" i="24"/>
  <c r="AK9" i="24"/>
  <c r="AL9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Q10" i="24"/>
  <c r="R10" i="24"/>
  <c r="S10" i="24"/>
  <c r="T10" i="24"/>
  <c r="U10" i="24"/>
  <c r="AB10" i="24"/>
  <c r="AE11" i="24" s="1"/>
  <c r="AF12" i="24" s="1"/>
  <c r="AC10" i="24"/>
  <c r="AD10" i="24"/>
  <c r="AK10" i="24"/>
  <c r="AL10" i="24"/>
  <c r="D11" i="24"/>
  <c r="F11" i="24"/>
  <c r="G11" i="24"/>
  <c r="H11" i="24"/>
  <c r="J11" i="24"/>
  <c r="K11" i="24"/>
  <c r="L11" i="24"/>
  <c r="O11" i="24"/>
  <c r="Q11" i="24"/>
  <c r="R11" i="24"/>
  <c r="S11" i="24"/>
  <c r="T11" i="24"/>
  <c r="U11" i="24"/>
  <c r="AB11" i="24"/>
  <c r="AG12" i="24" s="1"/>
  <c r="AH13" i="24" s="1"/>
  <c r="AC11" i="24"/>
  <c r="AD11" i="24"/>
  <c r="AK11" i="24"/>
  <c r="AL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Q12" i="24"/>
  <c r="R12" i="24"/>
  <c r="S12" i="24"/>
  <c r="T12" i="24"/>
  <c r="U12" i="24"/>
  <c r="AB12" i="24"/>
  <c r="AG13" i="24" s="1"/>
  <c r="AC12" i="24"/>
  <c r="AD12" i="24"/>
  <c r="AK12" i="24"/>
  <c r="AL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Q13" i="24"/>
  <c r="R13" i="24"/>
  <c r="S13" i="24"/>
  <c r="T13" i="24"/>
  <c r="U13" i="24"/>
  <c r="AB13" i="24"/>
  <c r="AI15" i="24" s="1"/>
  <c r="AJ16" i="24" s="1"/>
  <c r="AC13" i="24"/>
  <c r="AD13" i="24"/>
  <c r="AK13" i="24"/>
  <c r="AL13" i="24"/>
  <c r="AI20" i="24" l="1"/>
  <c r="AG20" i="24"/>
  <c r="AE20" i="24"/>
  <c r="AI16" i="24"/>
  <c r="AJ17" i="24" s="1"/>
  <c r="AG16" i="24"/>
  <c r="AH17" i="24" s="1"/>
  <c r="AH15" i="24"/>
  <c r="AH14" i="24"/>
  <c r="AE15" i="24"/>
  <c r="AF16" i="24" s="1"/>
  <c r="AG14" i="24"/>
  <c r="AI14" i="24"/>
  <c r="AE14" i="24"/>
  <c r="AE17" i="24"/>
  <c r="AF18" i="24" s="1"/>
  <c r="AI18" i="24"/>
  <c r="AJ19" i="24" s="1"/>
  <c r="AG18" i="24"/>
  <c r="AH19" i="24" s="1"/>
  <c r="AG17" i="24"/>
  <c r="AH18" i="24" s="1"/>
  <c r="AI19" i="24"/>
  <c r="AJ20" i="24" s="1"/>
  <c r="AG19" i="24"/>
  <c r="AH20" i="24" s="1"/>
  <c r="AG15" i="24"/>
  <c r="AH16" i="24" s="1"/>
  <c r="C29" i="24"/>
  <c r="AI12" i="24"/>
  <c r="AJ13" i="24" s="1"/>
  <c r="AE12" i="24"/>
  <c r="AF13" i="24" s="1"/>
  <c r="AI11" i="24"/>
  <c r="AJ12" i="24" s="1"/>
  <c r="AG11" i="24"/>
  <c r="AH12" i="24" s="1"/>
  <c r="AI13" i="24"/>
  <c r="AI9" i="24"/>
  <c r="AJ10" i="24" s="1"/>
  <c r="AE13" i="24"/>
  <c r="AI10" i="24"/>
  <c r="AJ11" i="24" s="1"/>
  <c r="AG10" i="24"/>
  <c r="AH11" i="24" s="1"/>
  <c r="AG9" i="24"/>
  <c r="AH10" i="24" s="1"/>
  <c r="AJ15" i="24" l="1"/>
  <c r="AJ14" i="24"/>
  <c r="AF15" i="24"/>
  <c r="AF14" i="24"/>
  <c r="AJ7" i="24"/>
  <c r="AJ29" i="24" s="1"/>
  <c r="AI7" i="24"/>
  <c r="AH7" i="24"/>
  <c r="AH29" i="24" s="1"/>
  <c r="AG7" i="24"/>
  <c r="AF7" i="24"/>
  <c r="AE7" i="24"/>
  <c r="D7" i="24"/>
  <c r="D29" i="24" s="1"/>
  <c r="AF8" i="24" l="1"/>
  <c r="AH8" i="24"/>
  <c r="AJ8" i="24"/>
  <c r="AJ6" i="1"/>
  <c r="AJ7" i="1"/>
  <c r="AJ8" i="1"/>
  <c r="AJ9" i="1"/>
  <c r="AJ10" i="1"/>
  <c r="AJ11" i="1"/>
  <c r="AJ12" i="1"/>
  <c r="AJ5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4" i="1"/>
  <c r="AJ18" i="1"/>
  <c r="AJ22" i="1"/>
  <c r="AJ23" i="1"/>
  <c r="S5" i="1"/>
  <c r="T5" i="1" s="1"/>
  <c r="S10" i="1"/>
  <c r="T10" i="1" s="1"/>
  <c r="S8" i="1"/>
  <c r="T8" i="1" s="1"/>
  <c r="S12" i="1"/>
  <c r="T12" i="1" s="1"/>
  <c r="S9" i="1"/>
  <c r="T9" i="1" s="1"/>
  <c r="P19" i="24" l="1"/>
  <c r="AA19" i="24"/>
  <c r="Y19" i="24"/>
  <c r="Z19" i="24"/>
  <c r="Y11" i="24"/>
  <c r="Z11" i="24"/>
  <c r="P11" i="24"/>
  <c r="AA11" i="24"/>
  <c r="Y10" i="24"/>
  <c r="Z10" i="24"/>
  <c r="P10" i="24"/>
  <c r="AA10" i="24"/>
  <c r="Y9" i="24"/>
  <c r="Z9" i="24"/>
  <c r="P9" i="24"/>
  <c r="AA9" i="24"/>
  <c r="Z6" i="24"/>
  <c r="Y6" i="24"/>
  <c r="AA6" i="24"/>
  <c r="P6" i="24"/>
  <c r="Y12" i="24"/>
  <c r="Z12" i="24"/>
  <c r="P12" i="24"/>
  <c r="AA12" i="24"/>
  <c r="Y8" i="24"/>
  <c r="P8" i="24"/>
  <c r="AA8" i="24"/>
  <c r="Z8" i="24"/>
  <c r="AA13" i="24"/>
  <c r="Y13" i="24"/>
  <c r="Z13" i="24"/>
  <c r="P13" i="24"/>
  <c r="I4" i="1"/>
  <c r="I10" i="1"/>
  <c r="I5" i="1"/>
  <c r="I18" i="1"/>
  <c r="I8" i="1"/>
  <c r="I12" i="1"/>
  <c r="I9" i="1"/>
  <c r="A19" i="26" l="1"/>
  <c r="AL7" i="24" l="1"/>
  <c r="AL29" i="24" s="1"/>
  <c r="AJ17" i="1"/>
  <c r="AJ15" i="1"/>
  <c r="AJ14" i="1"/>
  <c r="AJ16" i="1"/>
  <c r="P18" i="24" l="1"/>
  <c r="Z18" i="24"/>
  <c r="Y18" i="24"/>
  <c r="AA18" i="24"/>
  <c r="AA17" i="24"/>
  <c r="Z17" i="24"/>
  <c r="Y17" i="24"/>
  <c r="P17" i="24"/>
  <c r="Z16" i="24"/>
  <c r="P16" i="24"/>
  <c r="AA16" i="24"/>
  <c r="Y16" i="24"/>
  <c r="Y15" i="24"/>
  <c r="P15" i="24"/>
  <c r="AA15" i="24"/>
  <c r="Z15" i="24"/>
  <c r="AJ24" i="1"/>
  <c r="AJ25" i="1"/>
  <c r="X5" i="24" l="1"/>
  <c r="W5" i="24"/>
  <c r="S11" i="1"/>
  <c r="T11" i="1" s="1"/>
  <c r="S7" i="1"/>
  <c r="T7" i="1" s="1"/>
  <c r="S6" i="1"/>
  <c r="T6" i="1" s="1"/>
  <c r="I11" i="1"/>
  <c r="I17" i="1"/>
  <c r="I7" i="1"/>
  <c r="I15" i="1"/>
  <c r="I6" i="1"/>
  <c r="I14" i="1"/>
  <c r="V4" i="24"/>
  <c r="E7" i="24"/>
  <c r="E29" i="24" s="1"/>
  <c r="F7" i="24"/>
  <c r="F29" i="24" s="1"/>
  <c r="H7" i="24"/>
  <c r="H29" i="24" s="1"/>
  <c r="I7" i="24"/>
  <c r="I29" i="24" s="1"/>
  <c r="J7" i="24"/>
  <c r="J29" i="24" s="1"/>
  <c r="L7" i="24"/>
  <c r="L29" i="24" s="1"/>
  <c r="M7" i="24"/>
  <c r="M29" i="24" s="1"/>
  <c r="N7" i="24"/>
  <c r="N29" i="24" s="1"/>
  <c r="O7" i="24"/>
  <c r="O29" i="24" s="1"/>
  <c r="P7" i="24"/>
  <c r="P29" i="24" s="1"/>
  <c r="Q7" i="24"/>
  <c r="Q29" i="24" s="1"/>
  <c r="Y7" i="24"/>
  <c r="Y29" i="24" s="1"/>
  <c r="Z7" i="24"/>
  <c r="Z29" i="24" s="1"/>
  <c r="AA7" i="24"/>
  <c r="AA29" i="24" s="1"/>
  <c r="AB7" i="24"/>
  <c r="AB29" i="24" s="1"/>
  <c r="AC7" i="24"/>
  <c r="AC29" i="24" s="1"/>
  <c r="AD7" i="24"/>
  <c r="AD29" i="24" s="1"/>
  <c r="U7" i="24"/>
  <c r="U29" i="24" s="1"/>
  <c r="S25" i="1" l="1"/>
  <c r="S24" i="1"/>
  <c r="AG8" i="24"/>
  <c r="AH9" i="24" s="1"/>
  <c r="AE8" i="24"/>
  <c r="AE29" i="24" s="1"/>
  <c r="AI8" i="24"/>
  <c r="AJ9" i="24" s="1"/>
  <c r="G7" i="24"/>
  <c r="G29" i="24" s="1"/>
  <c r="R7" i="24"/>
  <c r="R29" i="24" s="1"/>
  <c r="S7" i="24"/>
  <c r="S29" i="24" s="1"/>
  <c r="K7" i="24"/>
  <c r="K29" i="24" s="1"/>
  <c r="AK7" i="24"/>
  <c r="AK29" i="24" s="1"/>
  <c r="T7" i="24"/>
  <c r="T29" i="24" s="1"/>
  <c r="X4" i="24"/>
  <c r="W4" i="24"/>
  <c r="I16" i="1"/>
  <c r="B20" i="25"/>
  <c r="B18" i="25"/>
  <c r="B16" i="25"/>
  <c r="B13" i="25"/>
  <c r="B12" i="25"/>
  <c r="B7" i="25"/>
  <c r="B6" i="25"/>
  <c r="K2" i="25"/>
  <c r="E2" i="25"/>
  <c r="B14" i="25" s="1"/>
  <c r="AF9" i="24" l="1"/>
  <c r="AF29" i="24" s="1"/>
  <c r="V5" i="24"/>
</calcChain>
</file>

<file path=xl/sharedStrings.xml><?xml version="1.0" encoding="utf-8"?>
<sst xmlns="http://schemas.openxmlformats.org/spreadsheetml/2006/main" count="172" uniqueCount="142">
  <si>
    <t>Bolide:</t>
  </si>
  <si>
    <t>Array</t>
  </si>
  <si>
    <t>Period at maximum amplitude: sec</t>
  </si>
  <si>
    <t>Total duration: Minutes</t>
  </si>
  <si>
    <t>ch 1</t>
  </si>
  <si>
    <t>Ch #</t>
  </si>
  <si>
    <t>Fundamental frequency</t>
  </si>
  <si>
    <t>STD period</t>
  </si>
  <si>
    <t>Wind speed (m/s)</t>
  </si>
  <si>
    <t>Wind speed STD (m/s)</t>
  </si>
  <si>
    <t>Range (km)</t>
  </si>
  <si>
    <t>Range (deg)</t>
  </si>
  <si>
    <t>Max Peak to peak amp (Pa)</t>
  </si>
  <si>
    <t>STD amplitude</t>
  </si>
  <si>
    <t>Empirical Es (kt)</t>
  </si>
  <si>
    <t xml:space="preserve">no wind, &lt; 7kt, </t>
  </si>
  <si>
    <t>wind, &lt; 7 kt</t>
  </si>
  <si>
    <t>no wind, &gt; 7 kt</t>
  </si>
  <si>
    <t>wind, &gt; 7 kt</t>
  </si>
  <si>
    <t>AFTAC</t>
  </si>
  <si>
    <t>peak amp relation</t>
  </si>
  <si>
    <t>French nuclear</t>
  </si>
  <si>
    <t>ANFO</t>
  </si>
  <si>
    <t>ANFO 2</t>
  </si>
  <si>
    <t>. + / -</t>
  </si>
  <si>
    <t>period relation (E/2 &gt; 40 kt)</t>
  </si>
  <si>
    <t>period relation (E/2 &lt; 100 kt)</t>
  </si>
  <si>
    <t>E (kt)</t>
  </si>
  <si>
    <t>Stan. Dev. max. amplitude (Pa)</t>
  </si>
  <si>
    <t>Stan. Dev. Amplitude (Pa)</t>
  </si>
  <si>
    <t>Stan. Dev. Period (s)</t>
  </si>
  <si>
    <t>Period at maximum amplitude (s)</t>
  </si>
  <si>
    <t>Maximum Amplitude (Pa)</t>
  </si>
  <si>
    <t>Station related info</t>
  </si>
  <si>
    <t>Geographical location</t>
  </si>
  <si>
    <t>Amplitude</t>
  </si>
  <si>
    <t>Period</t>
  </si>
  <si>
    <t>Wind data</t>
  </si>
  <si>
    <t>Station</t>
  </si>
  <si>
    <t>Lat (deg), N</t>
  </si>
  <si>
    <t>Lon (deg), E</t>
  </si>
  <si>
    <t>Total duration (s)</t>
  </si>
  <si>
    <t>Fundamental frequency (Hz)</t>
  </si>
  <si>
    <t>Integr. Signal-2-noise ratio</t>
  </si>
  <si>
    <t>UKMO Wind velocity (m/s)</t>
  </si>
  <si>
    <t xml:space="preserve">Stan. Dev. UKMO Wind velocity (m/s) </t>
  </si>
  <si>
    <t>HWM Wind velocity STD (m/s)</t>
  </si>
  <si>
    <t>Stan. Dev. HWM Wind velocity (m/s)</t>
  </si>
  <si>
    <t>Source Location</t>
  </si>
  <si>
    <t>Other</t>
  </si>
  <si>
    <t>Date</t>
  </si>
  <si>
    <t>Max. Amplitude (kt of TNT)</t>
  </si>
  <si>
    <t>P2P Amplitude (kt of TNT)</t>
  </si>
  <si>
    <t>Total Sig. E. (kt of TNT)</t>
  </si>
  <si>
    <t>Inegr. SNR (kt of TNT)</t>
  </si>
  <si>
    <r>
      <t xml:space="preserve">HWM Energy Estimate </t>
    </r>
    <r>
      <rPr>
        <b/>
        <sz val="8"/>
        <rFont val="Arial"/>
        <family val="2"/>
      </rPr>
      <t>(Edwards et al., 2005)</t>
    </r>
  </si>
  <si>
    <r>
      <t xml:space="preserve">UKMO Small Bolide Energy (&lt; 7 kt) Estimate </t>
    </r>
    <r>
      <rPr>
        <b/>
        <sz val="8"/>
        <rFont val="Arial"/>
        <family val="2"/>
      </rPr>
      <t>(Edwards et al., 2006)</t>
    </r>
  </si>
  <si>
    <r>
      <t xml:space="preserve">UKMO Large Bolide Energy (&gt; 7 kt) Estimate </t>
    </r>
    <r>
      <rPr>
        <b/>
        <sz val="8"/>
        <rFont val="Arial"/>
        <family val="2"/>
      </rPr>
      <t>(Edwards et al., 2006)</t>
    </r>
  </si>
  <si>
    <t>E/2 &lt; 100 kt (kt of TNT)</t>
  </si>
  <si>
    <t>E/2 &gt; 40 kt (kt of TNT)</t>
  </si>
  <si>
    <t>Nuclear and ANFO Energy Estimates</t>
  </si>
  <si>
    <t>Clauter &amp; Blandford (1998)</t>
  </si>
  <si>
    <t>Blanc et al. (1997)</t>
  </si>
  <si>
    <t>Davidson &amp; Whitaker (1992)</t>
  </si>
  <si>
    <t>Whitaker (1995)</t>
  </si>
  <si>
    <r>
      <t xml:space="preserve">AFTAC (period) Energy Estimate </t>
    </r>
    <r>
      <rPr>
        <b/>
        <sz val="8"/>
        <rFont val="Arial"/>
        <family val="2"/>
      </rPr>
      <t>(Ceplecha et al., 1998)</t>
    </r>
  </si>
  <si>
    <t>AFTAC (kt of TNT)</t>
  </si>
  <si>
    <t>French (kt of TNT)</t>
  </si>
  <si>
    <t>ANFO (kt of TNT)</t>
  </si>
  <si>
    <t>ANFO2 (kt of TNT)</t>
  </si>
  <si>
    <t>(dd-mm-yyyy), newest on bottom</t>
  </si>
  <si>
    <t>Back azimuth (theoretical)</t>
  </si>
  <si>
    <t>Matseis Data</t>
  </si>
  <si>
    <t>Std. Dev. Azimuth (deg)</t>
  </si>
  <si>
    <t>Back Azimuth (deg)</t>
  </si>
  <si>
    <t>Arrival time (hh:mm:ss)</t>
  </si>
  <si>
    <t>Total signal energy (Pa2)</t>
  </si>
  <si>
    <t>Filter, Low frequency</t>
  </si>
  <si>
    <t>Filter, High frequency</t>
  </si>
  <si>
    <t xml:space="preserve">Date </t>
  </si>
  <si>
    <t>Celerity</t>
  </si>
  <si>
    <t>Delay time (sec)</t>
  </si>
  <si>
    <t>Station (IS)</t>
  </si>
  <si>
    <r>
      <t xml:space="preserve">Ens (Period) </t>
    </r>
    <r>
      <rPr>
        <b/>
        <sz val="8"/>
        <rFont val="Arial"/>
        <family val="2"/>
      </rPr>
      <t>(Ens et al., 2012)</t>
    </r>
  </si>
  <si>
    <t>Multi-station Average (kT)</t>
  </si>
  <si>
    <t>Single-Station (kT)</t>
  </si>
  <si>
    <r>
      <t>Error bounds (Upper) 1</t>
    </r>
    <r>
      <rPr>
        <sz val="10"/>
        <rFont val="Calibri"/>
        <family val="2"/>
      </rPr>
      <t>σ</t>
    </r>
  </si>
  <si>
    <t>Error bounds (Lower) 1σ</t>
  </si>
  <si>
    <t>Error bounds (Upper)     1σ</t>
  </si>
  <si>
    <t>Average:</t>
  </si>
  <si>
    <t>Ens (Range Discrim Check) (Ens et al., 2012)</t>
  </si>
  <si>
    <t>Max Range (km) given E (from SS-Period)</t>
  </si>
  <si>
    <t>Observed-Max Expected (Range)</t>
  </si>
  <si>
    <t>Should be &lt;0</t>
  </si>
  <si>
    <r>
      <t xml:space="preserve">f </t>
    </r>
    <r>
      <rPr>
        <sz val="8"/>
        <rFont val="Arial"/>
        <family val="2"/>
      </rPr>
      <t>Upper_theory (Hz)</t>
    </r>
  </si>
  <si>
    <t>Ens (Freq Scaled Range) (Ens et al., 2012)</t>
  </si>
  <si>
    <r>
      <t>f Lower</t>
    </r>
    <r>
      <rPr>
        <sz val="8"/>
        <rFont val="Arial"/>
        <family val="2"/>
      </rPr>
      <t>_theory (Hz)</t>
    </r>
  </si>
  <si>
    <t>F_obs-fU_theory (should be &lt;0)</t>
  </si>
  <si>
    <t>F_obs-fL_theory (should be &lt;0)</t>
  </si>
  <si>
    <t>Ens - Wind corrected Amplitude Yield (kT)</t>
  </si>
  <si>
    <t>in kT</t>
  </si>
  <si>
    <t>StdDev:</t>
  </si>
  <si>
    <t>Period @ Fundamenal Frequency</t>
  </si>
  <si>
    <t>Doppler - corrected Period</t>
  </si>
  <si>
    <t>E/2 &lt; 100 kt (kt of TNT) - Doppler Corrected</t>
  </si>
  <si>
    <t>Single-Station (kT) - Doppler</t>
  </si>
  <si>
    <t>Doppler--&gt;</t>
  </si>
  <si>
    <t xml:space="preserve">Range (km) </t>
  </si>
  <si>
    <t>I46RU</t>
  </si>
  <si>
    <t>I18DK</t>
  </si>
  <si>
    <t>I44RU</t>
  </si>
  <si>
    <t>I53US</t>
  </si>
  <si>
    <t>I10CA</t>
  </si>
  <si>
    <t>I56US</t>
  </si>
  <si>
    <t>I59US</t>
  </si>
  <si>
    <t>Arth.AVERAGES:</t>
  </si>
  <si>
    <t>Geometric Mean</t>
  </si>
  <si>
    <t>Stations Period Avg:</t>
  </si>
  <si>
    <t>Ens - Wind corrected P-P Amplitude Yield (kT)</t>
  </si>
  <si>
    <t>Ens - Wind corrected Amplitude Yield (kT) [within 3000 km]</t>
  </si>
  <si>
    <t>Ens - Wind corrected P-P Amplitude Yield (kT) [within 3000 km]</t>
  </si>
  <si>
    <t>[airburst=172.4E, 56.9N@ 25 km height]</t>
  </si>
  <si>
    <t>18/12/18</t>
  </si>
  <si>
    <t>I04AU</t>
  </si>
  <si>
    <t>I13CL</t>
  </si>
  <si>
    <t>I24FR</t>
  </si>
  <si>
    <t>I30JP</t>
  </si>
  <si>
    <t>I43RU</t>
  </si>
  <si>
    <t>I55US</t>
  </si>
  <si>
    <t>I57US</t>
  </si>
  <si>
    <t>I37NO</t>
  </si>
  <si>
    <t>AFTAC period - max@PSD</t>
  </si>
  <si>
    <t>Log Period</t>
  </si>
  <si>
    <t>Log Norm avg</t>
  </si>
  <si>
    <t>Dif Th-Obs Az</t>
  </si>
  <si>
    <t>Shahar Analysis P1</t>
  </si>
  <si>
    <t>Shahar Analysis P2</t>
  </si>
  <si>
    <t>Gi (55 Multi)</t>
  </si>
  <si>
    <t>I05AU</t>
  </si>
  <si>
    <t>I26DE</t>
  </si>
  <si>
    <t>I21FR</t>
  </si>
  <si>
    <t>I42PT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</si>
</sst>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0000"/>
    <numFmt numFmtId="167" formatCode="[$-409]d\-mmm\-yyyy;@"/>
    <numFmt numFmtId="168" formatCode="h:mm:ss;@"/>
    <numFmt numFmtId="169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55"/>
      <name val="Arial"/>
      <family val="2"/>
    </font>
    <font>
      <sz val="10"/>
      <name val="Arial Narrow"/>
      <family val="2"/>
    </font>
    <font>
      <sz val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0" fontId="16" fillId="2" borderId="0" applyNumberFormat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/>
  </cellStyleXfs>
  <cellXfs count="138">
    <xf numFmtId="0" fontId="0" fillId="0" borderId="0" xfId="0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/>
    <xf numFmtId="0" fontId="0" fillId="0" borderId="0" xfId="0" applyFill="1" applyBorder="1"/>
    <xf numFmtId="0" fontId="3" fillId="0" borderId="0" xfId="0" applyFont="1" applyFill="1" applyBorder="1" applyAlignment="1">
      <alignment horizontal="center" wrapText="1"/>
    </xf>
    <xf numFmtId="49" fontId="5" fillId="0" borderId="0" xfId="0" applyNumberFormat="1" applyFont="1"/>
    <xf numFmtId="166" fontId="0" fillId="0" borderId="0" xfId="0" applyNumberForma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67" fontId="0" fillId="0" borderId="0" xfId="0" applyNumberFormat="1"/>
    <xf numFmtId="0" fontId="8" fillId="0" borderId="1" xfId="0" applyFont="1" applyBorder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6" fillId="0" borderId="0" xfId="0" applyNumberFormat="1" applyFont="1" applyFill="1" applyBorder="1" applyAlignment="1" applyProtection="1">
      <alignment horizontal="center" wrapText="1"/>
    </xf>
    <xf numFmtId="0" fontId="8" fillId="0" borderId="3" xfId="0" applyFont="1" applyBorder="1"/>
    <xf numFmtId="0" fontId="0" fillId="0" borderId="1" xfId="0" applyBorder="1"/>
    <xf numFmtId="0" fontId="0" fillId="0" borderId="4" xfId="0" applyBorder="1"/>
    <xf numFmtId="0" fontId="6" fillId="0" borderId="5" xfId="0" applyNumberFormat="1" applyFont="1" applyFill="1" applyBorder="1" applyAlignment="1" applyProtection="1">
      <alignment horizontal="center" wrapText="1"/>
    </xf>
    <xf numFmtId="0" fontId="6" fillId="0" borderId="6" xfId="0" applyNumberFormat="1" applyFont="1" applyFill="1" applyBorder="1" applyAlignment="1" applyProtection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0" fillId="0" borderId="9" xfId="0" applyBorder="1"/>
    <xf numFmtId="0" fontId="8" fillId="0" borderId="10" xfId="0" applyFont="1" applyBorder="1" applyAlignment="1">
      <alignment horizontal="center"/>
    </xf>
    <xf numFmtId="0" fontId="3" fillId="0" borderId="11" xfId="0" applyFont="1" applyFill="1" applyBorder="1" applyAlignment="1">
      <alignment horizontal="center" wrapText="1"/>
    </xf>
    <xf numFmtId="0" fontId="8" fillId="0" borderId="10" xfId="0" applyFont="1" applyBorder="1" applyAlignment="1">
      <alignment wrapText="1"/>
    </xf>
    <xf numFmtId="0" fontId="8" fillId="0" borderId="11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Fill="1"/>
    <xf numFmtId="167" fontId="0" fillId="0" borderId="0" xfId="0" applyNumberFormat="1" applyFill="1"/>
    <xf numFmtId="166" fontId="0" fillId="0" borderId="0" xfId="0" applyNumberFormat="1" applyFill="1" applyProtection="1"/>
    <xf numFmtId="0" fontId="0" fillId="0" borderId="0" xfId="0" applyFill="1" applyProtection="1"/>
    <xf numFmtId="166" fontId="0" fillId="0" borderId="0" xfId="0" applyNumberFormat="1" applyFill="1"/>
    <xf numFmtId="166" fontId="12" fillId="0" borderId="0" xfId="0" applyNumberFormat="1" applyFont="1"/>
    <xf numFmtId="0" fontId="5" fillId="0" borderId="8" xfId="0" applyFont="1" applyFill="1" applyBorder="1" applyAlignment="1">
      <alignment horizontal="center" wrapText="1"/>
    </xf>
    <xf numFmtId="1" fontId="0" fillId="0" borderId="0" xfId="0" applyNumberFormat="1" applyFill="1"/>
    <xf numFmtId="0" fontId="0" fillId="0" borderId="6" xfId="0" applyBorder="1"/>
    <xf numFmtId="167" fontId="15" fillId="0" borderId="0" xfId="0" applyNumberFormat="1" applyFont="1" applyFill="1" applyAlignment="1">
      <alignment horizontal="center"/>
    </xf>
    <xf numFmtId="168" fontId="15" fillId="0" borderId="0" xfId="12" applyNumberFormat="1" applyFont="1" applyFill="1" applyBorder="1" applyAlignment="1">
      <alignment horizontal="center"/>
    </xf>
    <xf numFmtId="2" fontId="15" fillId="0" borderId="0" xfId="3" applyNumberFormat="1" applyFont="1" applyFill="1" applyAlignment="1">
      <alignment horizontal="center"/>
    </xf>
    <xf numFmtId="2" fontId="15" fillId="0" borderId="0" xfId="4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7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165" fontId="0" fillId="0" borderId="0" xfId="0" applyNumberFormat="1"/>
    <xf numFmtId="166" fontId="5" fillId="0" borderId="0" xfId="0" applyNumberFormat="1" applyFont="1"/>
    <xf numFmtId="2" fontId="3" fillId="0" borderId="0" xfId="0" applyNumberFormat="1" applyFont="1" applyAlignment="1">
      <alignment horizontal="center"/>
    </xf>
    <xf numFmtId="169" fontId="15" fillId="0" borderId="0" xfId="12" applyNumberFormat="1" applyFont="1" applyFill="1" applyBorder="1" applyAlignment="1">
      <alignment horizontal="center"/>
    </xf>
    <xf numFmtId="1" fontId="0" fillId="0" borderId="0" xfId="0" applyNumberFormat="1"/>
    <xf numFmtId="168" fontId="5" fillId="0" borderId="0" xfId="0" applyNumberFormat="1" applyFont="1" applyFill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0" fontId="15" fillId="0" borderId="0" xfId="1" applyFont="1" applyFill="1" applyAlignment="1">
      <alignment horizontal="center"/>
    </xf>
    <xf numFmtId="167" fontId="5" fillId="0" borderId="0" xfId="0" applyNumberFormat="1" applyFont="1" applyAlignment="1">
      <alignment horizontal="center"/>
    </xf>
    <xf numFmtId="169" fontId="5" fillId="0" borderId="12" xfId="0" applyNumberFormat="1" applyFont="1" applyBorder="1" applyAlignment="1">
      <alignment horizontal="center"/>
    </xf>
    <xf numFmtId="168" fontId="5" fillId="0" borderId="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2" fontId="20" fillId="0" borderId="0" xfId="3" applyNumberFormat="1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166" fontId="17" fillId="0" borderId="0" xfId="0" applyNumberFormat="1" applyFont="1" applyFill="1"/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5" fillId="0" borderId="14" xfId="0" applyFont="1" applyBorder="1" applyAlignment="1">
      <alignment wrapText="1"/>
    </xf>
    <xf numFmtId="22" fontId="0" fillId="0" borderId="0" xfId="0" applyNumberFormat="1"/>
    <xf numFmtId="165" fontId="5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4" borderId="0" xfId="0" applyFill="1"/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15" fillId="0" borderId="0" xfId="12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8" xfId="19" applyFont="1" applyFill="1" applyBorder="1" applyAlignment="1">
      <alignment horizontal="center" wrapText="1"/>
    </xf>
    <xf numFmtId="2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0" fillId="0" borderId="0" xfId="0" applyBorder="1" applyAlignment="1"/>
    <xf numFmtId="0" fontId="0" fillId="0" borderId="6" xfId="0" applyBorder="1" applyAlignment="1"/>
    <xf numFmtId="0" fontId="6" fillId="0" borderId="5" xfId="0" applyNumberFormat="1" applyFont="1" applyFill="1" applyBorder="1" applyAlignment="1" applyProtection="1">
      <alignment horizontal="center" wrapText="1"/>
    </xf>
    <xf numFmtId="0" fontId="0" fillId="0" borderId="5" xfId="0" applyBorder="1" applyAlignment="1"/>
    <xf numFmtId="0" fontId="8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5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9" fontId="15" fillId="4" borderId="0" xfId="12" applyNumberFormat="1" applyFont="1" applyFill="1" applyBorder="1" applyAlignment="1">
      <alignment horizontal="center"/>
    </xf>
    <xf numFmtId="165" fontId="0" fillId="4" borderId="12" xfId="0" applyNumberFormat="1" applyFill="1" applyBorder="1" applyAlignment="1">
      <alignment horizontal="center"/>
    </xf>
    <xf numFmtId="168" fontId="0" fillId="4" borderId="0" xfId="0" applyNumberFormat="1" applyFill="1" applyAlignment="1">
      <alignment horizontal="center"/>
    </xf>
    <xf numFmtId="0" fontId="5" fillId="4" borderId="0" xfId="0" applyFont="1" applyFill="1" applyBorder="1"/>
    <xf numFmtId="0" fontId="15" fillId="4" borderId="0" xfId="1" applyFont="1" applyFill="1" applyAlignment="1">
      <alignment horizont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0">
    <cellStyle name="Good" xfId="1" builtinId="26"/>
    <cellStyle name="Hyperlink" xfId="19" builtinId="8"/>
    <cellStyle name="Hyperlink 2" xfId="2"/>
    <cellStyle name="Normal" xfId="0" builtinId="0"/>
    <cellStyle name="Normal 2" xfId="3"/>
    <cellStyle name="Normal 2 14" xfId="4"/>
    <cellStyle name="Normal 2 15" xfId="5"/>
    <cellStyle name="Normal 2 16" xfId="6"/>
    <cellStyle name="Normal 2 17" xfId="7"/>
    <cellStyle name="Normal 2 18" xfId="8"/>
    <cellStyle name="Normal 2 19" xfId="9"/>
    <cellStyle name="Normal 2 20" xfId="10"/>
    <cellStyle name="Normal 2 21" xfId="11"/>
    <cellStyle name="Normal 2 22" xfId="12"/>
    <cellStyle name="Normal 2 23" xfId="13"/>
    <cellStyle name="Normal 2 24" xfId="14"/>
    <cellStyle name="Normal 2 25" xfId="15"/>
    <cellStyle name="Normal 2 26" xfId="16"/>
    <cellStyle name="Normal 3" xfId="17"/>
    <cellStyle name="Normal 4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D@max-AFTAC%20perio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J28"/>
  <sheetViews>
    <sheetView tabSelected="1" topLeftCell="A2" workbookViewId="0">
      <selection activeCell="V2" sqref="V2:W19"/>
    </sheetView>
  </sheetViews>
  <sheetFormatPr defaultRowHeight="12.75" x14ac:dyDescent="0.2"/>
  <cols>
    <col min="1" max="1" width="21.28515625" customWidth="1"/>
    <col min="2" max="2" width="17" hidden="1" customWidth="1"/>
    <col min="3" max="4" width="11" hidden="1" customWidth="1"/>
    <col min="5" max="5" width="9.7109375" customWidth="1"/>
    <col min="6" max="6" width="10.28515625" style="4" customWidth="1"/>
    <col min="7" max="7" width="11.7109375" style="4" customWidth="1"/>
    <col min="8" max="8" width="16" style="4" customWidth="1"/>
    <col min="9" max="9" width="9.140625" style="4"/>
    <col min="10" max="10" width="17.42578125" style="4" customWidth="1"/>
    <col min="11" max="11" width="11.5703125" style="4" customWidth="1"/>
    <col min="12" max="12" width="10.7109375" style="4" customWidth="1"/>
    <col min="13" max="13" width="10" style="6" customWidth="1"/>
    <col min="14" max="14" width="9.140625" style="4" customWidth="1"/>
    <col min="15" max="15" width="9.140625" style="6" customWidth="1"/>
    <col min="16" max="26" width="9.140625" style="4" customWidth="1"/>
  </cols>
  <sheetData>
    <row r="1" spans="1:36" ht="15.75" x14ac:dyDescent="0.25">
      <c r="A1" s="20" t="s">
        <v>79</v>
      </c>
      <c r="B1" s="114" t="s">
        <v>48</v>
      </c>
      <c r="C1" s="112"/>
      <c r="D1" s="113"/>
      <c r="E1" s="114" t="s">
        <v>33</v>
      </c>
      <c r="F1" s="112"/>
      <c r="G1" s="112"/>
      <c r="H1" s="112"/>
      <c r="I1" s="112"/>
      <c r="J1" s="19"/>
      <c r="K1" s="114" t="s">
        <v>35</v>
      </c>
      <c r="L1" s="112"/>
      <c r="M1" s="112"/>
      <c r="N1" s="113"/>
      <c r="O1" s="114" t="s">
        <v>36</v>
      </c>
      <c r="P1" s="112"/>
      <c r="Q1" s="107"/>
      <c r="R1" s="114" t="s">
        <v>49</v>
      </c>
      <c r="S1" s="112"/>
      <c r="T1" s="112"/>
      <c r="U1" s="112"/>
      <c r="V1" s="112"/>
      <c r="W1" s="112"/>
      <c r="X1" s="112"/>
      <c r="Y1" s="112"/>
      <c r="Z1" s="113"/>
      <c r="AA1" s="112" t="s">
        <v>37</v>
      </c>
      <c r="AB1" s="112"/>
      <c r="AC1" s="112"/>
      <c r="AD1" s="113"/>
      <c r="AE1" t="s">
        <v>72</v>
      </c>
    </row>
    <row r="2" spans="1:36" ht="63.75" x14ac:dyDescent="0.2">
      <c r="A2" s="44" t="s">
        <v>121</v>
      </c>
      <c r="B2" s="45" t="s">
        <v>34</v>
      </c>
      <c r="C2" s="44" t="s">
        <v>39</v>
      </c>
      <c r="D2" s="46" t="s">
        <v>40</v>
      </c>
      <c r="E2" s="45" t="s">
        <v>38</v>
      </c>
      <c r="F2" s="44" t="s">
        <v>107</v>
      </c>
      <c r="G2" s="44" t="s">
        <v>71</v>
      </c>
      <c r="H2" s="44" t="s">
        <v>81</v>
      </c>
      <c r="I2" s="44" t="s">
        <v>80</v>
      </c>
      <c r="J2" s="44" t="s">
        <v>75</v>
      </c>
      <c r="K2" s="45" t="s">
        <v>32</v>
      </c>
      <c r="L2" s="44" t="s">
        <v>28</v>
      </c>
      <c r="M2" s="44" t="s">
        <v>12</v>
      </c>
      <c r="N2" s="46" t="s">
        <v>29</v>
      </c>
      <c r="O2" s="45" t="s">
        <v>31</v>
      </c>
      <c r="P2" s="44" t="s">
        <v>30</v>
      </c>
      <c r="Q2" s="44" t="s">
        <v>132</v>
      </c>
      <c r="R2" s="45" t="s">
        <v>42</v>
      </c>
      <c r="S2" s="44" t="s">
        <v>102</v>
      </c>
      <c r="T2" s="108" t="s">
        <v>131</v>
      </c>
      <c r="U2" s="108"/>
      <c r="V2" s="108" t="s">
        <v>135</v>
      </c>
      <c r="W2" s="108" t="s">
        <v>136</v>
      </c>
      <c r="X2" s="44" t="s">
        <v>41</v>
      </c>
      <c r="Y2" s="44" t="s">
        <v>76</v>
      </c>
      <c r="Z2" s="46" t="s">
        <v>43</v>
      </c>
      <c r="AA2" s="44" t="s">
        <v>44</v>
      </c>
      <c r="AB2" s="44" t="s">
        <v>45</v>
      </c>
      <c r="AC2" s="44" t="s">
        <v>46</v>
      </c>
      <c r="AD2" s="46" t="s">
        <v>47</v>
      </c>
      <c r="AE2" s="47" t="s">
        <v>74</v>
      </c>
      <c r="AF2" s="47" t="s">
        <v>134</v>
      </c>
      <c r="AG2" s="47" t="s">
        <v>73</v>
      </c>
      <c r="AH2" s="43" t="s">
        <v>77</v>
      </c>
      <c r="AI2" s="43" t="s">
        <v>78</v>
      </c>
      <c r="AJ2" s="43" t="s">
        <v>103</v>
      </c>
    </row>
    <row r="3" spans="1:36" s="48" customFormat="1" ht="15" x14ac:dyDescent="0.25">
      <c r="A3" s="57" t="s">
        <v>122</v>
      </c>
      <c r="F3" s="62"/>
      <c r="G3" s="62"/>
      <c r="H3" s="62"/>
      <c r="I3" s="62"/>
      <c r="J3" s="62"/>
      <c r="K3" s="62"/>
      <c r="L3" s="63"/>
      <c r="M3" s="9"/>
      <c r="N3" s="63"/>
      <c r="O3" s="9"/>
      <c r="P3" s="63"/>
      <c r="Q3" s="63"/>
      <c r="R3" s="62"/>
      <c r="S3" s="62"/>
      <c r="T3" s="62"/>
      <c r="U3" s="62"/>
      <c r="V3" s="62"/>
      <c r="W3" s="62"/>
      <c r="X3" s="62"/>
      <c r="Y3" s="64"/>
      <c r="Z3" s="64"/>
      <c r="AA3" s="62"/>
      <c r="AB3" s="63"/>
      <c r="AC3" s="62"/>
      <c r="AD3" s="63"/>
      <c r="AE3" s="62"/>
      <c r="AF3" s="62"/>
      <c r="AG3" s="62"/>
      <c r="AH3" s="62"/>
      <c r="AI3" s="62"/>
      <c r="AJ3" s="62"/>
    </row>
    <row r="4" spans="1:36" s="125" customFormat="1" ht="15" x14ac:dyDescent="0.25">
      <c r="B4" s="99"/>
      <c r="C4" s="99"/>
      <c r="D4" s="99"/>
      <c r="E4" s="99" t="s">
        <v>110</v>
      </c>
      <c r="F4" s="126">
        <v>1025</v>
      </c>
      <c r="G4" s="127">
        <v>60</v>
      </c>
      <c r="H4" s="128">
        <f>(J4-$A$5)*86400+86400</f>
        <v>3519.9999999999854</v>
      </c>
      <c r="I4" s="129">
        <f t="shared" ref="I4:I19" si="0">F4/H4</f>
        <v>0.29119318181818304</v>
      </c>
      <c r="J4" s="130">
        <v>3.2638888888888891E-2</v>
      </c>
      <c r="K4" s="125">
        <v>0.7</v>
      </c>
      <c r="L4" s="125">
        <v>0.15</v>
      </c>
      <c r="M4" s="125">
        <v>1.1299999999999999</v>
      </c>
      <c r="N4" s="131">
        <v>0.28999999999999998</v>
      </c>
      <c r="O4" s="131">
        <v>4</v>
      </c>
      <c r="P4" s="131">
        <v>0.2</v>
      </c>
      <c r="Q4" s="127">
        <f>LOG10(O4)</f>
        <v>0.6020599913279624</v>
      </c>
      <c r="R4" s="131">
        <v>0.15629999999999999</v>
      </c>
      <c r="S4" s="132">
        <f t="shared" ref="S4:S19" si="1">1/R4</f>
        <v>6.3979526551503518</v>
      </c>
      <c r="T4" s="132">
        <f>O4-S4</f>
        <v>-2.3979526551503518</v>
      </c>
      <c r="U4" s="132">
        <f>T4/O4*100</f>
        <v>-59.948816378758792</v>
      </c>
      <c r="V4" s="132"/>
      <c r="W4" s="132"/>
      <c r="X4" s="133">
        <v>910</v>
      </c>
      <c r="Y4" s="133">
        <v>8.1999999999999993</v>
      </c>
      <c r="Z4" s="133">
        <v>3.5</v>
      </c>
      <c r="AA4" s="134"/>
      <c r="AB4" s="99"/>
      <c r="AC4" s="99"/>
      <c r="AD4" s="99"/>
      <c r="AE4" s="99">
        <v>60.968000000000004</v>
      </c>
      <c r="AF4" s="99">
        <f t="shared" ref="AF4:AF17" si="2">G4-AE4</f>
        <v>-0.96800000000000352</v>
      </c>
      <c r="AG4" s="99"/>
      <c r="AH4" s="99">
        <v>0.3</v>
      </c>
      <c r="AI4" s="99">
        <v>5</v>
      </c>
      <c r="AJ4" s="135"/>
    </row>
    <row r="5" spans="1:36" s="69" customFormat="1" ht="15" x14ac:dyDescent="0.25">
      <c r="A5" s="75">
        <v>0.99189814814814825</v>
      </c>
      <c r="B5"/>
      <c r="C5"/>
      <c r="D5"/>
      <c r="E5" t="s">
        <v>111</v>
      </c>
      <c r="F5" s="101">
        <v>2278</v>
      </c>
      <c r="G5" s="91">
        <v>266</v>
      </c>
      <c r="H5" s="73">
        <f t="shared" ref="H5:H19" si="3">(J5-$A$5)*86400+86400</f>
        <v>6879.9999999999854</v>
      </c>
      <c r="I5" s="94">
        <f t="shared" si="0"/>
        <v>0.33110465116279142</v>
      </c>
      <c r="J5" s="90">
        <v>7.1527777777777787E-2</v>
      </c>
      <c r="K5" s="4">
        <v>3.2</v>
      </c>
      <c r="L5" s="4">
        <v>0.24</v>
      </c>
      <c r="M5" s="6">
        <v>6</v>
      </c>
      <c r="N5" s="4">
        <v>0.5</v>
      </c>
      <c r="O5" s="6">
        <v>12.4</v>
      </c>
      <c r="P5" s="4">
        <v>1.6</v>
      </c>
      <c r="Q5" s="4">
        <f>LOG10(O5)</f>
        <v>1.0934216851622351</v>
      </c>
      <c r="R5" s="4">
        <v>7.1999999999999995E-2</v>
      </c>
      <c r="S5" s="77">
        <f t="shared" si="1"/>
        <v>13.888888888888889</v>
      </c>
      <c r="T5" s="77">
        <f>O5-S5</f>
        <v>-1.4888888888888889</v>
      </c>
      <c r="U5" s="77">
        <f t="shared" ref="U5:U19" si="4">T5/O5*100</f>
        <v>-12.007168458781361</v>
      </c>
      <c r="V5" s="77">
        <v>13.6</v>
      </c>
      <c r="W5" s="77">
        <v>16.7</v>
      </c>
      <c r="X5" s="4">
        <v>446</v>
      </c>
      <c r="Y5" s="4">
        <v>372</v>
      </c>
      <c r="Z5" s="4">
        <v>26</v>
      </c>
      <c r="AA5"/>
      <c r="AB5"/>
      <c r="AC5" s="4">
        <v>0</v>
      </c>
      <c r="AD5"/>
      <c r="AE5">
        <v>261.97000000000003</v>
      </c>
      <c r="AF5">
        <f t="shared" si="2"/>
        <v>4.0299999999999727</v>
      </c>
      <c r="AG5"/>
      <c r="AH5">
        <v>0.02</v>
      </c>
      <c r="AI5">
        <v>5</v>
      </c>
      <c r="AJ5" s="83">
        <f t="shared" ref="AJ5:AJ19" si="5">1/(1/O5+AA5/(310*O5))</f>
        <v>12.4</v>
      </c>
    </row>
    <row r="6" spans="1:36" s="69" customFormat="1" ht="15" x14ac:dyDescent="0.25">
      <c r="A6" s="3"/>
      <c r="B6" s="3"/>
      <c r="C6" s="3"/>
      <c r="D6" s="3"/>
      <c r="E6" t="s">
        <v>126</v>
      </c>
      <c r="F6" s="102">
        <v>3390</v>
      </c>
      <c r="G6" s="42">
        <v>35</v>
      </c>
      <c r="H6" s="73">
        <f t="shared" si="3"/>
        <v>12219.999999999985</v>
      </c>
      <c r="I6" s="96">
        <f t="shared" si="0"/>
        <v>0.27741407528641604</v>
      </c>
      <c r="J6" s="90">
        <v>0.13333333333333333</v>
      </c>
      <c r="K6" s="97">
        <v>0.53</v>
      </c>
      <c r="L6" s="98">
        <v>0.06</v>
      </c>
      <c r="M6" s="97">
        <v>0.7</v>
      </c>
      <c r="N6" s="98">
        <v>0.11</v>
      </c>
      <c r="O6" s="97">
        <v>11.3</v>
      </c>
      <c r="P6" s="98">
        <v>2.1</v>
      </c>
      <c r="Q6" s="4">
        <f t="shared" ref="Q6:Q19" si="6">LOG10(O6)</f>
        <v>1.0530784434834197</v>
      </c>
      <c r="R6" s="97">
        <v>7.8E-2</v>
      </c>
      <c r="S6" s="77">
        <f t="shared" si="1"/>
        <v>12.820512820512821</v>
      </c>
      <c r="T6" s="77">
        <f t="shared" ref="T6:T19" si="7">O6-S6</f>
        <v>-1.5205128205128204</v>
      </c>
      <c r="U6" s="77">
        <f t="shared" si="4"/>
        <v>-13.455865668255045</v>
      </c>
      <c r="V6" s="77">
        <v>13.6</v>
      </c>
      <c r="W6" s="77">
        <v>12.6</v>
      </c>
      <c r="X6" s="97">
        <v>778</v>
      </c>
      <c r="Y6" s="97">
        <v>11</v>
      </c>
      <c r="Z6" s="97">
        <v>4</v>
      </c>
      <c r="AA6" s="7"/>
      <c r="AB6" s="3"/>
      <c r="AC6" s="97">
        <v>0</v>
      </c>
      <c r="AD6" s="3"/>
      <c r="AE6">
        <v>46.488</v>
      </c>
      <c r="AF6">
        <f t="shared" si="2"/>
        <v>-11.488</v>
      </c>
      <c r="AG6" s="3"/>
      <c r="AH6">
        <v>0.02</v>
      </c>
      <c r="AI6">
        <v>1</v>
      </c>
      <c r="AJ6" s="83">
        <f t="shared" si="5"/>
        <v>11.3</v>
      </c>
    </row>
    <row r="7" spans="1:36" s="3" customFormat="1" ht="15" x14ac:dyDescent="0.25">
      <c r="A7" s="78"/>
      <c r="B7" s="6"/>
      <c r="C7" s="7"/>
      <c r="D7" s="7"/>
      <c r="E7" t="s">
        <v>109</v>
      </c>
      <c r="F7" s="102">
        <v>4471</v>
      </c>
      <c r="G7" s="79">
        <v>312</v>
      </c>
      <c r="H7" s="73">
        <f t="shared" si="3"/>
        <v>13600</v>
      </c>
      <c r="I7" s="76">
        <f t="shared" si="0"/>
        <v>0.32874999999999999</v>
      </c>
      <c r="J7" s="80">
        <v>0.14930555555555555</v>
      </c>
      <c r="K7" s="97">
        <v>2.4500000000000002</v>
      </c>
      <c r="L7" s="98">
        <v>7.0000000000000007E-2</v>
      </c>
      <c r="M7" s="97">
        <v>4</v>
      </c>
      <c r="N7" s="98">
        <v>0.15</v>
      </c>
      <c r="O7" s="97">
        <v>21</v>
      </c>
      <c r="P7" s="98">
        <v>3.7</v>
      </c>
      <c r="Q7" s="4">
        <f t="shared" si="6"/>
        <v>1.3222192947339193</v>
      </c>
      <c r="R7" s="97">
        <v>5.9799999999999999E-2</v>
      </c>
      <c r="S7" s="77">
        <f t="shared" si="1"/>
        <v>16.722408026755854</v>
      </c>
      <c r="T7" s="77">
        <f t="shared" si="7"/>
        <v>4.2775919732441459</v>
      </c>
      <c r="U7" s="77">
        <f t="shared" si="4"/>
        <v>20.369485586876884</v>
      </c>
      <c r="V7" s="77">
        <v>22.7</v>
      </c>
      <c r="W7" s="77">
        <v>16.5</v>
      </c>
      <c r="X7" s="7">
        <v>596</v>
      </c>
      <c r="Y7" s="97">
        <v>188</v>
      </c>
      <c r="Z7" s="97">
        <v>59.4</v>
      </c>
      <c r="AA7" s="7"/>
      <c r="AB7" s="7"/>
      <c r="AC7" s="7">
        <v>0</v>
      </c>
      <c r="AD7" s="7"/>
      <c r="AE7" s="7">
        <v>314</v>
      </c>
      <c r="AF7">
        <f t="shared" si="2"/>
        <v>-2</v>
      </c>
      <c r="AG7" s="7"/>
      <c r="AH7" s="7">
        <v>0.02</v>
      </c>
      <c r="AI7" s="7">
        <v>1.5</v>
      </c>
      <c r="AJ7" s="83">
        <f t="shared" si="5"/>
        <v>21</v>
      </c>
    </row>
    <row r="8" spans="1:36" s="3" customFormat="1" ht="15" x14ac:dyDescent="0.25">
      <c r="A8"/>
      <c r="B8"/>
      <c r="C8"/>
      <c r="D8"/>
      <c r="E8" t="s">
        <v>113</v>
      </c>
      <c r="F8" s="101">
        <v>4637</v>
      </c>
      <c r="G8" s="91">
        <v>309.3</v>
      </c>
      <c r="H8" s="73">
        <f t="shared" si="3"/>
        <v>15159.999999999985</v>
      </c>
      <c r="I8" s="94">
        <f t="shared" si="0"/>
        <v>0.30587071240105568</v>
      </c>
      <c r="J8" s="90">
        <v>0.1673611111111111</v>
      </c>
      <c r="K8" s="4">
        <v>0.52</v>
      </c>
      <c r="L8" s="4">
        <v>0.18</v>
      </c>
      <c r="M8" s="6">
        <v>0.79</v>
      </c>
      <c r="N8" s="4">
        <v>0.37</v>
      </c>
      <c r="O8" s="6">
        <v>15.5</v>
      </c>
      <c r="P8" s="4">
        <v>1.3</v>
      </c>
      <c r="Q8" s="4">
        <f t="shared" si="6"/>
        <v>1.1903316981702914</v>
      </c>
      <c r="R8" s="4">
        <v>7.5999999999999998E-2</v>
      </c>
      <c r="S8" s="77">
        <f t="shared" si="1"/>
        <v>13.157894736842106</v>
      </c>
      <c r="T8" s="77">
        <f t="shared" si="7"/>
        <v>2.3421052631578938</v>
      </c>
      <c r="U8" s="77">
        <f t="shared" si="4"/>
        <v>15.11035653650254</v>
      </c>
      <c r="V8" s="77"/>
      <c r="W8" s="77"/>
      <c r="X8" s="4">
        <v>501</v>
      </c>
      <c r="Y8" s="4">
        <v>2.5</v>
      </c>
      <c r="Z8" s="4">
        <v>1.4</v>
      </c>
      <c r="AA8"/>
      <c r="AB8"/>
      <c r="AC8" s="7">
        <v>0</v>
      </c>
      <c r="AD8"/>
      <c r="AE8">
        <v>309.91000000000003</v>
      </c>
      <c r="AF8">
        <f t="shared" si="2"/>
        <v>-0.61000000000001364</v>
      </c>
      <c r="AG8"/>
      <c r="AH8">
        <v>0.03</v>
      </c>
      <c r="AI8">
        <v>1.5</v>
      </c>
      <c r="AJ8" s="83">
        <f t="shared" si="5"/>
        <v>15.5</v>
      </c>
    </row>
    <row r="9" spans="1:36" s="3" customFormat="1" ht="15" x14ac:dyDescent="0.25">
      <c r="A9"/>
      <c r="B9"/>
      <c r="C9"/>
      <c r="D9"/>
      <c r="E9" s="3" t="s">
        <v>114</v>
      </c>
      <c r="F9" s="100">
        <v>4900</v>
      </c>
      <c r="G9" s="4">
        <v>335.6</v>
      </c>
      <c r="H9" s="73">
        <f t="shared" si="3"/>
        <v>16599.999999999985</v>
      </c>
      <c r="I9" s="5">
        <f t="shared" si="0"/>
        <v>0.29518072289156655</v>
      </c>
      <c r="J9" s="90">
        <v>0.18402777777777779</v>
      </c>
      <c r="K9" s="4">
        <v>0.4</v>
      </c>
      <c r="L9" s="4">
        <v>0.12</v>
      </c>
      <c r="M9" s="6">
        <v>0.64</v>
      </c>
      <c r="N9" s="4">
        <v>0.23</v>
      </c>
      <c r="O9" s="6">
        <v>13.2</v>
      </c>
      <c r="P9" s="4">
        <v>0.2</v>
      </c>
      <c r="Q9" s="4">
        <f t="shared" si="6"/>
        <v>1.1205739312058498</v>
      </c>
      <c r="R9" s="4">
        <v>7.8100000000000003E-2</v>
      </c>
      <c r="S9" s="77">
        <f t="shared" si="1"/>
        <v>12.804097311139564</v>
      </c>
      <c r="T9" s="77">
        <f t="shared" si="7"/>
        <v>0.39590268886043489</v>
      </c>
      <c r="U9" s="77">
        <f t="shared" si="4"/>
        <v>2.9992627943972341</v>
      </c>
      <c r="V9" s="77">
        <v>13.6</v>
      </c>
      <c r="W9" s="77">
        <v>21.7</v>
      </c>
      <c r="X9" s="4">
        <v>785</v>
      </c>
      <c r="Y9" s="4">
        <v>5.8</v>
      </c>
      <c r="Z9" s="4">
        <v>6.2</v>
      </c>
      <c r="AA9"/>
      <c r="AB9"/>
      <c r="AC9" s="7">
        <v>0</v>
      </c>
      <c r="AD9"/>
      <c r="AE9">
        <v>330.22</v>
      </c>
      <c r="AF9">
        <f t="shared" si="2"/>
        <v>5.3799999999999955</v>
      </c>
      <c r="AG9"/>
      <c r="AH9">
        <v>0.03</v>
      </c>
      <c r="AI9">
        <v>2</v>
      </c>
      <c r="AJ9" s="83">
        <f t="shared" si="5"/>
        <v>13.2</v>
      </c>
    </row>
    <row r="10" spans="1:36" s="69" customFormat="1" ht="15" x14ac:dyDescent="0.25">
      <c r="A10" s="48"/>
      <c r="B10" s="48"/>
      <c r="C10" s="48"/>
      <c r="D10" s="48"/>
      <c r="E10" s="48" t="s">
        <v>108</v>
      </c>
      <c r="F10" s="109">
        <v>5148</v>
      </c>
      <c r="G10" s="62">
        <v>49</v>
      </c>
      <c r="H10" s="73">
        <f t="shared" si="3"/>
        <v>18760</v>
      </c>
      <c r="I10" s="64">
        <f t="shared" si="0"/>
        <v>0.27441364605543711</v>
      </c>
      <c r="J10" s="110">
        <v>0.20902777777777778</v>
      </c>
      <c r="K10" s="62">
        <v>0.69</v>
      </c>
      <c r="L10" s="62">
        <v>0.42</v>
      </c>
      <c r="M10" s="9">
        <v>1</v>
      </c>
      <c r="N10" s="62">
        <v>0.9</v>
      </c>
      <c r="O10" s="9">
        <v>18.100000000000001</v>
      </c>
      <c r="P10" s="62">
        <v>0.7</v>
      </c>
      <c r="Q10" s="62">
        <f t="shared" si="6"/>
        <v>1.2576785748691846</v>
      </c>
      <c r="R10" s="62">
        <v>5.8000000000000003E-2</v>
      </c>
      <c r="S10" s="77">
        <f t="shared" si="1"/>
        <v>17.241379310344826</v>
      </c>
      <c r="T10" s="77">
        <f t="shared" si="7"/>
        <v>0.85862068965517579</v>
      </c>
      <c r="U10" s="77">
        <f t="shared" si="4"/>
        <v>4.7437607163269373</v>
      </c>
      <c r="V10" s="77"/>
      <c r="W10" s="77"/>
      <c r="X10" s="62">
        <v>726</v>
      </c>
      <c r="Y10" s="62">
        <v>0</v>
      </c>
      <c r="Z10" s="62">
        <v>1</v>
      </c>
      <c r="AA10" s="48"/>
      <c r="AB10" s="48"/>
      <c r="AC10" s="48">
        <v>0</v>
      </c>
      <c r="AD10" s="48"/>
      <c r="AE10" s="48">
        <v>38.984000000000002</v>
      </c>
      <c r="AF10" s="48">
        <f t="shared" si="2"/>
        <v>10.015999999999998</v>
      </c>
      <c r="AG10" s="48"/>
      <c r="AH10" s="48">
        <v>0.05</v>
      </c>
      <c r="AI10" s="48">
        <v>1</v>
      </c>
      <c r="AJ10" s="111">
        <f t="shared" si="5"/>
        <v>18.100000000000001</v>
      </c>
    </row>
    <row r="11" spans="1:36" s="3" customFormat="1" ht="15" x14ac:dyDescent="0.25">
      <c r="B11" s="66"/>
      <c r="C11" s="67"/>
      <c r="D11" s="67"/>
      <c r="E11" t="s">
        <v>112</v>
      </c>
      <c r="F11" s="103">
        <v>5632</v>
      </c>
      <c r="G11" s="92">
        <v>315</v>
      </c>
      <c r="H11" s="73">
        <f t="shared" si="3"/>
        <v>18220</v>
      </c>
      <c r="I11" s="95">
        <f t="shared" si="0"/>
        <v>0.30911086717892428</v>
      </c>
      <c r="J11" s="68">
        <v>0.20277777777777781</v>
      </c>
      <c r="K11" s="97">
        <v>0.28000000000000003</v>
      </c>
      <c r="L11" s="98">
        <v>7.0000000000000007E-2</v>
      </c>
      <c r="M11" s="97">
        <v>0.45</v>
      </c>
      <c r="N11" s="98">
        <v>0.15</v>
      </c>
      <c r="O11" s="97">
        <v>17.2</v>
      </c>
      <c r="P11" s="98">
        <v>0.15</v>
      </c>
      <c r="Q11" s="4">
        <f t="shared" si="6"/>
        <v>1.2355284469075489</v>
      </c>
      <c r="R11" s="66">
        <v>5.8599999999999999E-2</v>
      </c>
      <c r="S11" s="77">
        <f t="shared" si="1"/>
        <v>17.064846416382252</v>
      </c>
      <c r="T11" s="77">
        <f t="shared" si="7"/>
        <v>0.13515358361774688</v>
      </c>
      <c r="U11" s="77">
        <f t="shared" si="4"/>
        <v>0.78577664894038879</v>
      </c>
      <c r="V11" s="77"/>
      <c r="W11" s="77"/>
      <c r="X11" s="66">
        <v>891</v>
      </c>
      <c r="Y11" s="97">
        <v>2.6</v>
      </c>
      <c r="Z11" s="97">
        <v>2</v>
      </c>
      <c r="AA11" s="66"/>
      <c r="AB11" s="66"/>
      <c r="AC11" s="66">
        <v>0</v>
      </c>
      <c r="AD11" s="66"/>
      <c r="AE11">
        <v>317.64999999999998</v>
      </c>
      <c r="AF11">
        <f t="shared" si="2"/>
        <v>-2.6499999999999773</v>
      </c>
      <c r="AG11" s="66"/>
      <c r="AH11">
        <v>0.05</v>
      </c>
      <c r="AI11">
        <v>0.6</v>
      </c>
      <c r="AJ11" s="83">
        <f t="shared" si="5"/>
        <v>17.2</v>
      </c>
    </row>
    <row r="12" spans="1:36" s="3" customFormat="1" ht="15" x14ac:dyDescent="0.25">
      <c r="A12"/>
      <c r="B12"/>
      <c r="C12"/>
      <c r="D12"/>
      <c r="E12" t="s">
        <v>129</v>
      </c>
      <c r="F12" s="100">
        <v>5823</v>
      </c>
      <c r="G12" s="4">
        <v>319.3</v>
      </c>
      <c r="H12" s="73">
        <f t="shared" si="3"/>
        <v>18700</v>
      </c>
      <c r="I12" s="5">
        <f t="shared" si="0"/>
        <v>0.31139037433155081</v>
      </c>
      <c r="J12" s="90">
        <v>0.20833333333333334</v>
      </c>
      <c r="K12" s="4">
        <v>0.24</v>
      </c>
      <c r="L12" s="4">
        <v>7.0000000000000007E-2</v>
      </c>
      <c r="M12" s="6">
        <v>0.42</v>
      </c>
      <c r="N12" s="4">
        <v>0.13</v>
      </c>
      <c r="O12" s="6">
        <v>14.6</v>
      </c>
      <c r="P12" s="4">
        <v>1.62</v>
      </c>
      <c r="Q12" s="4">
        <f t="shared" si="6"/>
        <v>1.1643528557844371</v>
      </c>
      <c r="R12" s="4">
        <v>6.6500000000000004E-2</v>
      </c>
      <c r="S12" s="77">
        <f t="shared" si="1"/>
        <v>15.037593984962406</v>
      </c>
      <c r="T12" s="77">
        <f t="shared" si="7"/>
        <v>-0.43759398496240642</v>
      </c>
      <c r="U12" s="77">
        <f t="shared" si="4"/>
        <v>-2.9972190750849759</v>
      </c>
      <c r="V12" s="77">
        <v>13.6</v>
      </c>
      <c r="W12" s="77">
        <v>15.1</v>
      </c>
      <c r="X12" s="4">
        <v>1492</v>
      </c>
      <c r="Y12" s="4">
        <v>4.5999999999999996</v>
      </c>
      <c r="Z12" s="4">
        <v>3.5</v>
      </c>
      <c r="AA12"/>
      <c r="AB12"/>
      <c r="AC12" s="66">
        <v>0</v>
      </c>
      <c r="AD12"/>
      <c r="AE12">
        <v>319.87</v>
      </c>
      <c r="AF12">
        <f t="shared" si="2"/>
        <v>-0.56999999999999318</v>
      </c>
      <c r="AG12"/>
      <c r="AH12">
        <v>0.02</v>
      </c>
      <c r="AI12">
        <v>1</v>
      </c>
      <c r="AJ12" s="83">
        <f t="shared" si="5"/>
        <v>14.600000000000001</v>
      </c>
    </row>
    <row r="13" spans="1:36" s="125" customFormat="1" ht="15" x14ac:dyDescent="0.25">
      <c r="A13" s="99"/>
      <c r="B13" s="99"/>
      <c r="C13" s="99"/>
      <c r="D13" s="99"/>
      <c r="E13" s="99" t="s">
        <v>130</v>
      </c>
      <c r="F13" s="126">
        <v>5848</v>
      </c>
      <c r="G13" s="127">
        <v>17</v>
      </c>
      <c r="H13" s="128">
        <f t="shared" si="3"/>
        <v>18659.999999999985</v>
      </c>
      <c r="I13" s="136">
        <f t="shared" si="0"/>
        <v>0.31339764201500558</v>
      </c>
      <c r="J13" s="130">
        <v>0.20787037037037037</v>
      </c>
      <c r="K13" s="127">
        <v>0.37</v>
      </c>
      <c r="L13" s="127">
        <v>0.04</v>
      </c>
      <c r="M13" s="137">
        <v>0.57999999999999996</v>
      </c>
      <c r="N13" s="127">
        <v>7.0000000000000007E-2</v>
      </c>
      <c r="O13" s="137">
        <v>20.5</v>
      </c>
      <c r="P13" s="127">
        <v>2.1</v>
      </c>
      <c r="Q13" s="127">
        <f t="shared" si="6"/>
        <v>1.3117538610557542</v>
      </c>
      <c r="R13" s="127">
        <v>5.3400000000000003E-2</v>
      </c>
      <c r="S13" s="132">
        <f t="shared" si="1"/>
        <v>18.726591760299623</v>
      </c>
      <c r="T13" s="132">
        <f t="shared" si="7"/>
        <v>1.7734082397003768</v>
      </c>
      <c r="U13" s="132">
        <f t="shared" si="4"/>
        <v>8.6507719009774462</v>
      </c>
      <c r="V13" s="132"/>
      <c r="W13" s="132"/>
      <c r="X13" s="127">
        <v>1700</v>
      </c>
      <c r="Y13" s="127">
        <v>11.2</v>
      </c>
      <c r="Z13" s="127">
        <v>14.6</v>
      </c>
      <c r="AA13" s="99"/>
      <c r="AB13" s="99"/>
      <c r="AC13" s="134">
        <v>0</v>
      </c>
      <c r="AD13" s="99"/>
      <c r="AE13" s="99">
        <v>6.4569999999999999</v>
      </c>
      <c r="AF13" s="99">
        <f t="shared" si="2"/>
        <v>10.542999999999999</v>
      </c>
      <c r="AG13" s="99"/>
      <c r="AH13" s="99">
        <v>0.04</v>
      </c>
      <c r="AI13" s="99">
        <v>0.15</v>
      </c>
      <c r="AJ13" s="135">
        <f t="shared" si="5"/>
        <v>20.5</v>
      </c>
    </row>
    <row r="14" spans="1:36" s="3" customFormat="1" ht="15" x14ac:dyDescent="0.25">
      <c r="E14" t="s">
        <v>127</v>
      </c>
      <c r="F14" s="104">
        <v>6761</v>
      </c>
      <c r="G14" s="7">
        <v>26.2</v>
      </c>
      <c r="H14" s="73">
        <f t="shared" si="3"/>
        <v>22719.999999999993</v>
      </c>
      <c r="I14" s="89">
        <f t="shared" si="0"/>
        <v>0.29757922535211279</v>
      </c>
      <c r="J14" s="90">
        <v>0.25486111111111109</v>
      </c>
      <c r="K14" s="97">
        <v>0.21</v>
      </c>
      <c r="L14" s="98">
        <v>0.04</v>
      </c>
      <c r="M14" s="97">
        <v>0.36</v>
      </c>
      <c r="N14" s="98">
        <v>7.0000000000000007E-2</v>
      </c>
      <c r="O14" s="97">
        <v>10</v>
      </c>
      <c r="P14" s="98">
        <v>1.9</v>
      </c>
      <c r="Q14" s="4">
        <f t="shared" si="6"/>
        <v>1</v>
      </c>
      <c r="R14" s="97">
        <v>9.3399999999999997E-2</v>
      </c>
      <c r="S14" s="77">
        <f t="shared" si="1"/>
        <v>10.706638115631693</v>
      </c>
      <c r="T14" s="77">
        <f t="shared" si="7"/>
        <v>-0.70663811563169254</v>
      </c>
      <c r="U14" s="77">
        <f t="shared" si="4"/>
        <v>-7.0663811563169254</v>
      </c>
      <c r="V14" s="77"/>
      <c r="W14" s="77"/>
      <c r="X14" s="97">
        <v>891</v>
      </c>
      <c r="Y14" s="97">
        <v>2.6</v>
      </c>
      <c r="Z14" s="97">
        <v>5.8</v>
      </c>
      <c r="AA14" s="7"/>
      <c r="AC14" s="66">
        <v>0</v>
      </c>
      <c r="AE14">
        <v>18.614000000000001</v>
      </c>
      <c r="AF14">
        <f t="shared" si="2"/>
        <v>7.5859999999999985</v>
      </c>
      <c r="AH14">
        <v>0.05</v>
      </c>
      <c r="AI14">
        <v>0.6</v>
      </c>
      <c r="AJ14" s="83">
        <f t="shared" si="5"/>
        <v>10</v>
      </c>
    </row>
    <row r="15" spans="1:36" ht="15" x14ac:dyDescent="0.25">
      <c r="A15" s="78"/>
      <c r="B15" s="7"/>
      <c r="C15" s="81"/>
      <c r="D15" s="81"/>
      <c r="E15" t="s">
        <v>125</v>
      </c>
      <c r="F15" s="105">
        <v>9030</v>
      </c>
      <c r="G15" s="93">
        <v>340</v>
      </c>
      <c r="H15" s="73">
        <f t="shared" si="3"/>
        <v>30879.999999999993</v>
      </c>
      <c r="I15" s="95">
        <f t="shared" si="0"/>
        <v>0.29242227979274621</v>
      </c>
      <c r="J15" s="90">
        <v>0.34930555555555554</v>
      </c>
      <c r="K15" s="97">
        <v>7.0000000000000007E-2</v>
      </c>
      <c r="L15" s="98">
        <v>0.03</v>
      </c>
      <c r="M15" s="97">
        <v>0.11</v>
      </c>
      <c r="N15" s="98">
        <v>0.05</v>
      </c>
      <c r="O15" s="97">
        <v>19</v>
      </c>
      <c r="P15" s="98">
        <v>3.2</v>
      </c>
      <c r="Q15" s="4">
        <f t="shared" si="6"/>
        <v>1.2787536009528289</v>
      </c>
      <c r="R15" s="97">
        <v>3.4200000000000001E-2</v>
      </c>
      <c r="S15" s="77">
        <f t="shared" si="1"/>
        <v>29.239766081871345</v>
      </c>
      <c r="T15" s="77">
        <f t="shared" si="7"/>
        <v>-10.239766081871345</v>
      </c>
      <c r="U15" s="77">
        <f t="shared" si="4"/>
        <v>-53.893505694059705</v>
      </c>
      <c r="V15" s="77"/>
      <c r="W15" s="77"/>
      <c r="X15" s="7">
        <v>1453</v>
      </c>
      <c r="Y15" s="97">
        <v>0.15</v>
      </c>
      <c r="Z15" s="97">
        <v>1.9</v>
      </c>
      <c r="AA15" s="7"/>
      <c r="AB15" s="7"/>
      <c r="AC15" s="7">
        <v>0</v>
      </c>
      <c r="AD15" s="7"/>
      <c r="AE15">
        <v>340.39</v>
      </c>
      <c r="AF15">
        <f t="shared" si="2"/>
        <v>-0.38999999999998636</v>
      </c>
      <c r="AG15" s="7"/>
      <c r="AH15">
        <v>0.03</v>
      </c>
      <c r="AI15">
        <v>0.2</v>
      </c>
      <c r="AJ15" s="83">
        <f t="shared" si="5"/>
        <v>19</v>
      </c>
    </row>
    <row r="16" spans="1:36" ht="15" x14ac:dyDescent="0.25">
      <c r="B16" s="66"/>
      <c r="C16" s="67"/>
      <c r="D16" s="67"/>
      <c r="E16" t="s">
        <v>123</v>
      </c>
      <c r="F16" s="106">
        <v>11450</v>
      </c>
      <c r="G16" s="73">
        <v>27.7</v>
      </c>
      <c r="H16" s="73">
        <f t="shared" si="3"/>
        <v>40239.999999999985</v>
      </c>
      <c r="I16" s="95">
        <f t="shared" si="0"/>
        <v>0.28454274353876752</v>
      </c>
      <c r="J16" s="58">
        <v>0.45763888888888887</v>
      </c>
      <c r="K16" s="97">
        <v>0.15</v>
      </c>
      <c r="L16" s="98">
        <v>0.05</v>
      </c>
      <c r="M16" s="97">
        <v>0.23</v>
      </c>
      <c r="N16" s="98">
        <v>0.02</v>
      </c>
      <c r="O16" s="59">
        <v>21.4</v>
      </c>
      <c r="P16" s="82">
        <v>5.2</v>
      </c>
      <c r="Q16" s="4">
        <f t="shared" si="6"/>
        <v>1.3304137733491908</v>
      </c>
      <c r="R16" s="60">
        <v>6.5299999999999997E-2</v>
      </c>
      <c r="S16" s="77">
        <f t="shared" si="1"/>
        <v>15.313935681470138</v>
      </c>
      <c r="T16" s="77">
        <f t="shared" si="7"/>
        <v>6.0860643185298606</v>
      </c>
      <c r="U16" s="77">
        <f t="shared" si="4"/>
        <v>28.439552890326453</v>
      </c>
      <c r="V16" s="77"/>
      <c r="W16" s="77"/>
      <c r="X16" s="77">
        <v>891</v>
      </c>
      <c r="Y16" s="97">
        <v>0.51</v>
      </c>
      <c r="Z16" s="97">
        <v>1.5</v>
      </c>
      <c r="AA16" s="61"/>
      <c r="AB16" s="77"/>
      <c r="AC16" s="77">
        <v>0</v>
      </c>
      <c r="AD16" s="77"/>
      <c r="AE16">
        <v>32.005000000000003</v>
      </c>
      <c r="AF16">
        <f t="shared" si="2"/>
        <v>-4.3050000000000033</v>
      </c>
      <c r="AG16" s="66"/>
      <c r="AH16">
        <v>0.04</v>
      </c>
      <c r="AI16">
        <v>0.17</v>
      </c>
      <c r="AJ16" s="83">
        <f t="shared" si="5"/>
        <v>21.4</v>
      </c>
    </row>
    <row r="17" spans="1:36" ht="15" x14ac:dyDescent="0.25">
      <c r="A17" s="65"/>
      <c r="B17" s="66"/>
      <c r="C17" s="66"/>
      <c r="D17" s="66"/>
      <c r="E17" t="s">
        <v>124</v>
      </c>
      <c r="F17" s="103">
        <v>11834</v>
      </c>
      <c r="G17" s="92">
        <v>326</v>
      </c>
      <c r="H17" s="73">
        <f t="shared" si="3"/>
        <v>41199.999999999993</v>
      </c>
      <c r="I17" s="95">
        <f t="shared" si="0"/>
        <v>0.28723300970873794</v>
      </c>
      <c r="J17" s="68">
        <v>0.46875</v>
      </c>
      <c r="K17" s="97">
        <v>0.12</v>
      </c>
      <c r="L17" s="98">
        <v>0.03</v>
      </c>
      <c r="M17" s="97">
        <v>0.19</v>
      </c>
      <c r="N17" s="98">
        <v>0.06</v>
      </c>
      <c r="O17" s="97">
        <v>22.9</v>
      </c>
      <c r="P17" s="98">
        <v>0.61</v>
      </c>
      <c r="Q17" s="4">
        <f t="shared" si="6"/>
        <v>1.3598354823398879</v>
      </c>
      <c r="R17" s="97">
        <v>5.8599999999999999E-2</v>
      </c>
      <c r="S17" s="77">
        <f t="shared" si="1"/>
        <v>17.064846416382252</v>
      </c>
      <c r="T17" s="77">
        <f t="shared" si="7"/>
        <v>5.8351535836177462</v>
      </c>
      <c r="U17" s="77">
        <f t="shared" si="4"/>
        <v>25.481020015798016</v>
      </c>
      <c r="V17" s="77"/>
      <c r="W17" s="77"/>
      <c r="X17" s="66">
        <v>950</v>
      </c>
      <c r="Y17" s="97">
        <v>0.3</v>
      </c>
      <c r="Z17" s="97">
        <v>1.4</v>
      </c>
      <c r="AA17" s="66"/>
      <c r="AB17" s="66"/>
      <c r="AC17" s="66">
        <v>0</v>
      </c>
      <c r="AD17" s="66"/>
      <c r="AE17">
        <v>323.95999999999998</v>
      </c>
      <c r="AF17">
        <f t="shared" si="2"/>
        <v>2.0400000000000205</v>
      </c>
      <c r="AG17" s="66"/>
      <c r="AH17">
        <v>0.03</v>
      </c>
      <c r="AI17">
        <v>0.17</v>
      </c>
      <c r="AJ17" s="83">
        <f t="shared" si="5"/>
        <v>22.9</v>
      </c>
    </row>
    <row r="18" spans="1:36" ht="15" x14ac:dyDescent="0.25">
      <c r="E18" t="s">
        <v>128</v>
      </c>
      <c r="F18" s="100">
        <v>14974</v>
      </c>
      <c r="G18" s="4">
        <v>3.7</v>
      </c>
      <c r="H18" s="73">
        <f t="shared" si="3"/>
        <v>51579.999999999993</v>
      </c>
      <c r="I18" s="5">
        <f t="shared" si="0"/>
        <v>0.29030632027917802</v>
      </c>
      <c r="J18" s="90">
        <v>0.58888888888888891</v>
      </c>
      <c r="K18" s="4">
        <v>0.31</v>
      </c>
      <c r="L18" s="4">
        <v>4.4999999999999998E-2</v>
      </c>
      <c r="M18" s="6">
        <v>0.57999999999999996</v>
      </c>
      <c r="N18" s="4">
        <v>0.09</v>
      </c>
      <c r="O18" s="6">
        <v>15.5</v>
      </c>
      <c r="P18" s="4">
        <v>0.33</v>
      </c>
      <c r="Q18" s="4">
        <f t="shared" si="6"/>
        <v>1.1903316981702914</v>
      </c>
      <c r="R18" s="4">
        <v>5.8599999999999999E-2</v>
      </c>
      <c r="S18" s="77">
        <f t="shared" si="1"/>
        <v>17.064846416382252</v>
      </c>
      <c r="T18" s="77">
        <f t="shared" si="7"/>
        <v>-1.5648464163822524</v>
      </c>
      <c r="U18" s="77">
        <f t="shared" si="4"/>
        <v>-10.095783331498403</v>
      </c>
      <c r="V18" s="77">
        <v>15.7</v>
      </c>
      <c r="W18" s="77">
        <v>23.2</v>
      </c>
      <c r="X18" s="4">
        <v>1916</v>
      </c>
      <c r="Y18" s="4">
        <v>8.1</v>
      </c>
      <c r="Z18" s="4">
        <v>18.2</v>
      </c>
      <c r="AC18" s="66">
        <v>0</v>
      </c>
      <c r="AE18">
        <v>335.04</v>
      </c>
      <c r="AF18">
        <f>G18-AE18+360</f>
        <v>28.659999999999968</v>
      </c>
      <c r="AH18">
        <v>0.03</v>
      </c>
      <c r="AI18">
        <v>0.5</v>
      </c>
      <c r="AJ18" s="83">
        <f t="shared" si="5"/>
        <v>15.5</v>
      </c>
    </row>
    <row r="19" spans="1:36" s="99" customFormat="1" ht="15" x14ac:dyDescent="0.25">
      <c r="E19" s="99" t="s">
        <v>138</v>
      </c>
      <c r="F19" s="126">
        <v>11291</v>
      </c>
      <c r="G19" s="127">
        <v>13.5</v>
      </c>
      <c r="H19" s="128">
        <f t="shared" si="3"/>
        <v>39339.999999999985</v>
      </c>
      <c r="I19" s="136">
        <f t="shared" si="0"/>
        <v>0.28701067615658371</v>
      </c>
      <c r="J19" s="130">
        <v>0.44722222222222219</v>
      </c>
      <c r="K19" s="127">
        <v>7.0000000000000007E-2</v>
      </c>
      <c r="L19" s="127">
        <v>0.06</v>
      </c>
      <c r="M19" s="137">
        <v>0.11</v>
      </c>
      <c r="N19" s="127">
        <v>0.11</v>
      </c>
      <c r="O19" s="137">
        <v>24.3</v>
      </c>
      <c r="P19" s="127">
        <v>5.5</v>
      </c>
      <c r="Q19" s="127">
        <f t="shared" si="6"/>
        <v>1.3856062735983121</v>
      </c>
      <c r="R19" s="127">
        <v>6.2899999999999998E-2</v>
      </c>
      <c r="S19" s="132">
        <f t="shared" si="1"/>
        <v>15.898251192368839</v>
      </c>
      <c r="T19" s="132">
        <f t="shared" si="7"/>
        <v>8.4017488076311615</v>
      </c>
      <c r="U19" s="132">
        <f t="shared" si="4"/>
        <v>34.575097973790783</v>
      </c>
      <c r="V19" s="132"/>
      <c r="W19" s="132"/>
      <c r="X19" s="127"/>
      <c r="Y19" s="127"/>
      <c r="Z19" s="127"/>
      <c r="AC19" s="134"/>
      <c r="AE19" s="99">
        <v>13.9</v>
      </c>
      <c r="AF19" s="99">
        <f>G19-AE19</f>
        <v>-0.40000000000000036</v>
      </c>
      <c r="AH19" s="99">
        <v>0.04</v>
      </c>
      <c r="AI19" s="99">
        <v>0.12</v>
      </c>
      <c r="AJ19" s="135">
        <f t="shared" si="5"/>
        <v>24.3</v>
      </c>
    </row>
    <row r="20" spans="1:36" ht="15" x14ac:dyDescent="0.25">
      <c r="F20" s="100"/>
      <c r="H20" s="73"/>
      <c r="I20" s="5"/>
      <c r="J20" s="90"/>
      <c r="S20" s="77"/>
      <c r="T20" s="77"/>
      <c r="U20" s="77"/>
      <c r="V20" s="77"/>
      <c r="W20" s="77"/>
      <c r="AC20" s="66"/>
      <c r="AJ20" s="83"/>
    </row>
    <row r="21" spans="1:36" ht="15" x14ac:dyDescent="0.25">
      <c r="E21" t="s">
        <v>139</v>
      </c>
      <c r="F21" s="100"/>
      <c r="H21" s="73"/>
      <c r="I21" s="5"/>
      <c r="J21" s="90"/>
      <c r="S21" s="77"/>
      <c r="T21" s="77"/>
      <c r="U21" s="77"/>
      <c r="V21" s="77"/>
      <c r="W21" s="77"/>
      <c r="AC21" s="66"/>
      <c r="AJ21" s="83"/>
    </row>
    <row r="22" spans="1:36" x14ac:dyDescent="0.2">
      <c r="E22" t="s">
        <v>140</v>
      </c>
      <c r="J22" s="88"/>
      <c r="AJ22" s="83" t="e">
        <f>1/(1/O22+AA22/(310*O22))</f>
        <v>#DIV/0!</v>
      </c>
    </row>
    <row r="23" spans="1:36" x14ac:dyDescent="0.2">
      <c r="E23" t="s">
        <v>141</v>
      </c>
      <c r="AJ23" s="83" t="e">
        <f>1/(1/O23+AA23/(310*O23))</f>
        <v>#DIV/0!</v>
      </c>
    </row>
    <row r="24" spans="1:36" x14ac:dyDescent="0.2">
      <c r="A24" s="3" t="s">
        <v>89</v>
      </c>
      <c r="I24" s="5">
        <f>AVERAGE(I4:I19)</f>
        <v>0.29855750799806602</v>
      </c>
      <c r="O24" s="4">
        <f>AVERAGE(O4:O19)</f>
        <v>16.306250000000002</v>
      </c>
      <c r="Q24" s="4">
        <f>AVERAGE(Q5:Q18)</f>
        <v>1.2077338104417741</v>
      </c>
      <c r="S24" s="72">
        <f>AVERAGE(S5:S22)</f>
        <v>16.183499810682324</v>
      </c>
      <c r="T24" s="72"/>
      <c r="U24" s="72"/>
      <c r="V24" s="72">
        <f>AVERAGE(V5:V22)</f>
        <v>15.466666666666667</v>
      </c>
      <c r="W24" s="72">
        <f>AVERAGE(W5:W22)</f>
        <v>17.633333333333333</v>
      </c>
      <c r="AJ24" s="6">
        <f>AVERAGE(AJ4:AJ14)</f>
        <v>15.38</v>
      </c>
    </row>
    <row r="25" spans="1:36" x14ac:dyDescent="0.2">
      <c r="O25" s="6">
        <f>STDEV(O5:O22)</f>
        <v>4.3758210113999665</v>
      </c>
      <c r="S25" s="6">
        <f>STDEV(S5:S22)</f>
        <v>4.225513012473086</v>
      </c>
      <c r="T25" s="6"/>
      <c r="U25" s="6"/>
      <c r="V25" s="6"/>
      <c r="W25" s="6"/>
      <c r="AJ25" s="6">
        <f>STDEV(AJ4:AJ14)/3.31</f>
        <v>1.1409295771010399</v>
      </c>
    </row>
    <row r="26" spans="1:36" x14ac:dyDescent="0.2">
      <c r="S26" s="6"/>
      <c r="T26" s="6"/>
      <c r="U26" s="6"/>
      <c r="V26" s="6"/>
      <c r="W26" s="6"/>
      <c r="AJ26" s="6"/>
    </row>
    <row r="27" spans="1:36" x14ac:dyDescent="0.2">
      <c r="A27" s="3"/>
    </row>
    <row r="28" spans="1:36" x14ac:dyDescent="0.2">
      <c r="A28" s="3" t="s">
        <v>133</v>
      </c>
      <c r="Q28" s="4">
        <f>10^Q24</f>
        <v>16.133693807228592</v>
      </c>
    </row>
  </sheetData>
  <sortState ref="A4:AD22">
    <sortCondition ref="F4:F22"/>
  </sortState>
  <mergeCells count="6">
    <mergeCell ref="AA1:AD1"/>
    <mergeCell ref="R1:Z1"/>
    <mergeCell ref="E1:I1"/>
    <mergeCell ref="B1:D1"/>
    <mergeCell ref="K1:N1"/>
    <mergeCell ref="O1:P1"/>
  </mergeCells>
  <phoneticPr fontId="2" type="noConversion"/>
  <hyperlinks>
    <hyperlink ref="T2" r:id="rId1" display="PSD@max-AFTAC period"/>
  </hyperlinks>
  <printOptions gridLines="1"/>
  <pageMargins left="0" right="0" top="1" bottom="1" header="0.5" footer="0.5"/>
  <pageSetup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N35"/>
  <sheetViews>
    <sheetView topLeftCell="A19" workbookViewId="0">
      <pane xSplit="2" topLeftCell="N1" activePane="topRight" state="frozen"/>
      <selection activeCell="B1" sqref="B1"/>
      <selection pane="topRight" activeCell="O40" sqref="O40"/>
    </sheetView>
  </sheetViews>
  <sheetFormatPr defaultRowHeight="12.75" x14ac:dyDescent="0.2"/>
  <cols>
    <col min="1" max="1" width="15.42578125" customWidth="1"/>
    <col min="2" max="2" width="18.85546875" customWidth="1"/>
    <col min="3" max="3" width="11.5703125" customWidth="1"/>
    <col min="4" max="4" width="11.7109375" customWidth="1"/>
    <col min="5" max="6" width="11" customWidth="1"/>
    <col min="7" max="7" width="10.7109375" customWidth="1"/>
    <col min="8" max="8" width="11.42578125" customWidth="1"/>
    <col min="9" max="9" width="9.85546875" customWidth="1"/>
    <col min="10" max="10" width="9.42578125" bestFit="1" customWidth="1"/>
    <col min="11" max="11" width="12.42578125" customWidth="1"/>
    <col min="12" max="12" width="13" customWidth="1"/>
    <col min="13" max="13" width="11.140625" customWidth="1"/>
    <col min="14" max="14" width="10.5703125" customWidth="1"/>
    <col min="15" max="16" width="12" customWidth="1"/>
    <col min="17" max="17" width="11.42578125" customWidth="1"/>
    <col min="18" max="18" width="13" customWidth="1"/>
    <col min="19" max="19" width="11.28515625" customWidth="1"/>
    <col min="20" max="20" width="9.85546875" customWidth="1"/>
    <col min="21" max="21" width="11.85546875" customWidth="1"/>
    <col min="22" max="22" width="10.42578125" customWidth="1"/>
    <col min="23" max="23" width="14" customWidth="1"/>
    <col min="24" max="24" width="9.5703125" bestFit="1" customWidth="1"/>
    <col min="25" max="25" width="16.42578125" customWidth="1"/>
    <col min="26" max="26" width="15" customWidth="1"/>
    <col min="27" max="27" width="9.42578125" bestFit="1" customWidth="1"/>
    <col min="28" max="28" width="11.28515625" customWidth="1"/>
    <col min="29" max="29" width="13.85546875" customWidth="1"/>
    <col min="30" max="30" width="9.42578125" bestFit="1" customWidth="1"/>
    <col min="31" max="31" width="12.85546875" customWidth="1"/>
    <col min="32" max="32" width="11.140625" bestFit="1" customWidth="1"/>
    <col min="33" max="36" width="9.42578125" bestFit="1" customWidth="1"/>
    <col min="37" max="37" width="12.7109375" bestFit="1" customWidth="1"/>
    <col min="38" max="38" width="12" customWidth="1"/>
    <col min="39" max="39" width="11.7109375" customWidth="1"/>
    <col min="40" max="40" width="19.85546875" customWidth="1"/>
  </cols>
  <sheetData>
    <row r="1" spans="1:40" ht="18.75" customHeight="1" x14ac:dyDescent="0.25">
      <c r="A1" s="37"/>
      <c r="B1" s="37"/>
      <c r="C1" s="121" t="s">
        <v>55</v>
      </c>
      <c r="D1" s="122"/>
      <c r="E1" s="122"/>
      <c r="F1" s="123"/>
      <c r="G1" s="121" t="s">
        <v>56</v>
      </c>
      <c r="H1" s="122"/>
      <c r="I1" s="122"/>
      <c r="J1" s="123"/>
      <c r="K1" s="121" t="s">
        <v>57</v>
      </c>
      <c r="L1" s="122"/>
      <c r="M1" s="122"/>
      <c r="N1" s="123"/>
      <c r="O1" s="121" t="s">
        <v>65</v>
      </c>
      <c r="P1" s="122"/>
      <c r="Q1" s="123"/>
      <c r="R1" s="24" t="s">
        <v>60</v>
      </c>
      <c r="S1" s="25"/>
      <c r="T1" s="25"/>
      <c r="U1" s="26"/>
      <c r="V1" s="115" t="s">
        <v>83</v>
      </c>
      <c r="W1" s="116"/>
      <c r="X1" s="117"/>
      <c r="Y1" s="117"/>
      <c r="Z1" s="117"/>
      <c r="AA1" s="117"/>
      <c r="AB1" s="117"/>
      <c r="AC1" s="117"/>
      <c r="AD1" s="118"/>
      <c r="AE1" s="119" t="s">
        <v>90</v>
      </c>
      <c r="AF1" s="56"/>
      <c r="AG1" s="119" t="s">
        <v>95</v>
      </c>
      <c r="AH1" s="117"/>
      <c r="AI1" s="117"/>
      <c r="AJ1" s="118"/>
    </row>
    <row r="2" spans="1:40" ht="37.5" customHeight="1" x14ac:dyDescent="0.25">
      <c r="A2" s="38" t="s">
        <v>50</v>
      </c>
      <c r="B2" s="40" t="s">
        <v>82</v>
      </c>
      <c r="C2" s="115"/>
      <c r="D2" s="116"/>
      <c r="E2" s="116"/>
      <c r="F2" s="124"/>
      <c r="G2" s="115"/>
      <c r="H2" s="116"/>
      <c r="I2" s="116"/>
      <c r="J2" s="124"/>
      <c r="K2" s="115"/>
      <c r="L2" s="116"/>
      <c r="M2" s="116"/>
      <c r="N2" s="124"/>
      <c r="O2" s="115"/>
      <c r="P2" s="116"/>
      <c r="Q2" s="124"/>
      <c r="R2" s="27" t="s">
        <v>61</v>
      </c>
      <c r="S2" s="23" t="s">
        <v>62</v>
      </c>
      <c r="T2" s="23" t="s">
        <v>63</v>
      </c>
      <c r="U2" s="28" t="s">
        <v>64</v>
      </c>
      <c r="V2" s="115"/>
      <c r="W2" s="116"/>
      <c r="X2" s="117"/>
      <c r="Y2" s="117"/>
      <c r="Z2" s="117"/>
      <c r="AA2" s="117"/>
      <c r="AB2" s="117"/>
      <c r="AC2" s="117"/>
      <c r="AD2" s="118"/>
      <c r="AE2" s="120"/>
      <c r="AF2" s="28" t="s">
        <v>93</v>
      </c>
      <c r="AG2" s="120"/>
      <c r="AH2" s="117"/>
      <c r="AI2" s="117"/>
      <c r="AJ2" s="118"/>
      <c r="AK2" s="23" t="s">
        <v>99</v>
      </c>
      <c r="AL2" s="23" t="s">
        <v>118</v>
      </c>
      <c r="AM2" s="23" t="s">
        <v>119</v>
      </c>
      <c r="AN2" s="23" t="s">
        <v>120</v>
      </c>
    </row>
    <row r="3" spans="1:40" ht="51.75" x14ac:dyDescent="0.25">
      <c r="A3" s="39" t="s">
        <v>70</v>
      </c>
      <c r="B3" s="41"/>
      <c r="C3" s="29" t="s">
        <v>51</v>
      </c>
      <c r="D3" s="30" t="s">
        <v>52</v>
      </c>
      <c r="E3" s="30" t="s">
        <v>53</v>
      </c>
      <c r="F3" s="31" t="s">
        <v>54</v>
      </c>
      <c r="G3" s="29" t="s">
        <v>51</v>
      </c>
      <c r="H3" s="30" t="s">
        <v>52</v>
      </c>
      <c r="I3" s="30" t="s">
        <v>53</v>
      </c>
      <c r="J3" s="31" t="s">
        <v>54</v>
      </c>
      <c r="K3" s="29" t="s">
        <v>51</v>
      </c>
      <c r="L3" s="30" t="s">
        <v>52</v>
      </c>
      <c r="M3" s="30" t="s">
        <v>53</v>
      </c>
      <c r="N3" s="31" t="s">
        <v>54</v>
      </c>
      <c r="O3" s="32" t="s">
        <v>58</v>
      </c>
      <c r="P3" s="32" t="s">
        <v>104</v>
      </c>
      <c r="Q3" s="33" t="s">
        <v>59</v>
      </c>
      <c r="R3" s="29" t="s">
        <v>66</v>
      </c>
      <c r="S3" s="30" t="s">
        <v>67</v>
      </c>
      <c r="T3" s="30" t="s">
        <v>68</v>
      </c>
      <c r="U3" s="21" t="s">
        <v>69</v>
      </c>
      <c r="V3" s="32" t="s">
        <v>84</v>
      </c>
      <c r="W3" s="54" t="s">
        <v>88</v>
      </c>
      <c r="X3" s="54" t="s">
        <v>87</v>
      </c>
      <c r="Y3" s="54" t="s">
        <v>105</v>
      </c>
      <c r="Z3" s="54" t="s">
        <v>86</v>
      </c>
      <c r="AA3" s="33" t="s">
        <v>87</v>
      </c>
      <c r="AB3" s="54" t="s">
        <v>85</v>
      </c>
      <c r="AC3" s="54" t="s">
        <v>86</v>
      </c>
      <c r="AD3" s="33" t="s">
        <v>87</v>
      </c>
      <c r="AE3" s="32" t="s">
        <v>91</v>
      </c>
      <c r="AF3" s="33" t="s">
        <v>92</v>
      </c>
      <c r="AG3" s="32" t="s">
        <v>94</v>
      </c>
      <c r="AH3" s="54" t="s">
        <v>97</v>
      </c>
      <c r="AI3" s="54" t="s">
        <v>96</v>
      </c>
      <c r="AJ3" s="33" t="s">
        <v>98</v>
      </c>
      <c r="AK3" s="35" t="s">
        <v>100</v>
      </c>
      <c r="AL3" s="35" t="s">
        <v>100</v>
      </c>
      <c r="AM3" s="35" t="s">
        <v>100</v>
      </c>
      <c r="AN3" s="35" t="s">
        <v>100</v>
      </c>
    </row>
    <row r="4" spans="1:40" ht="15.75" x14ac:dyDescent="0.25">
      <c r="A4" s="12"/>
      <c r="B4" s="3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35"/>
      <c r="P4" s="35"/>
      <c r="Q4" s="35"/>
      <c r="R4" s="22"/>
      <c r="S4" s="22"/>
      <c r="T4" s="22"/>
      <c r="U4" s="36"/>
      <c r="V4" s="84">
        <f>10^(3.28*LOG10('List of stations'!$O$24)+0.71)/1000</f>
        <v>48.587151247309826</v>
      </c>
      <c r="W4" s="84">
        <f>10^(3.28*LOG10(('List of stations'!$O$24)+'List of stations'!$O$25)+0.71)/1000</f>
        <v>105.96157422160591</v>
      </c>
      <c r="X4" s="84">
        <f>10^(3.28*LOG10(('List of stations'!$O$24)-'List of stations'!$O$25)+0.71)/1000</f>
        <v>17.435398466338093</v>
      </c>
      <c r="Y4" s="53"/>
      <c r="AB4" s="53"/>
    </row>
    <row r="5" spans="1:40" ht="15.75" x14ac:dyDescent="0.25">
      <c r="A5" s="12"/>
      <c r="B5" s="3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35"/>
      <c r="P5" s="35"/>
      <c r="Q5" s="35"/>
      <c r="R5" s="22"/>
      <c r="S5" s="22"/>
      <c r="T5" s="22"/>
      <c r="U5" s="36" t="s">
        <v>106</v>
      </c>
      <c r="V5" s="84">
        <f>10^(3.28*LOG10('List of stations'!$AJ$24)+0.71)/1000</f>
        <v>40.106686226067424</v>
      </c>
      <c r="W5" s="84">
        <f>10^(3.28*LOG10('List of stations'!$AJ$24+'List of stations'!$AJ$25)+0.71)/1000</f>
        <v>50.71694603845657</v>
      </c>
      <c r="X5" s="84">
        <f>10^(3.28*LOG10('List of stations'!$AJ$24-'List of stations'!$AJ$25)+0.71)/1000</f>
        <v>31.147254571652429</v>
      </c>
      <c r="Y5" s="53"/>
      <c r="AB5" s="53"/>
    </row>
    <row r="6" spans="1:40" s="48" customFormat="1" x14ac:dyDescent="0.2">
      <c r="A6" s="49"/>
      <c r="B6" t="s">
        <v>111</v>
      </c>
      <c r="C6" s="50">
        <f>10^(3*(3.41+0.0181*'List of stations'!AC5)/-1.87+3*LOG10('List of stations'!F5)-3/-1.87*LOG10('List of stations'!K5))/1000</f>
        <v>258.50798273978756</v>
      </c>
      <c r="D6" s="50">
        <f>10^(3*(3.58+0.0181*'List of stations'!AC5)/-1.86+3*LOG10('List of stations'!F5)-3/-1.86*LOG10('List of stations'!M5))/1000</f>
        <v>357.72580754904112</v>
      </c>
      <c r="E6" s="50">
        <f>10^(3*(9.64+0.0369*'List of stations'!AC5)/-3.95+3*LOG10('List of stations'!F5)-3/-3.95*LOG10('List of stations'!Y5))/1000</f>
        <v>50.518827858554666</v>
      </c>
      <c r="F6" s="51">
        <f>10^(3*(4.73+0.0106*'List of stations'!AC5)/-1.69+3*LOG10('List of stations'!F5)-3/-1.69*LOG10('List of stations'!Z5))/1000</f>
        <v>15.416949979023483</v>
      </c>
      <c r="G6" s="50">
        <f>10^(3*(3.21+0.0174*'List of stations'!AA5)/-1.75+3*LOG10('List of stations'!F5)-3/-1.75*LOG10('List of stations'!K5))/1000</f>
        <v>272.75668767118833</v>
      </c>
      <c r="H6" s="50">
        <f>10^(3*(3.36+0.0177*'List of stations'!AA5)/-1.74+3*LOG10('List of stations'!F5)-3/-1.74*LOG10('List of stations'!M5))/1000</f>
        <v>418.02070928985836</v>
      </c>
      <c r="I6" s="50">
        <f>10^(3*(9.2+0.0038*'List of stations'!AA5)/-3.64+3*LOG10('List of stations'!F5)-3/-3.64*LOG10('List of stations'!Y5))/1000</f>
        <v>40.627764170831377</v>
      </c>
      <c r="J6" s="50">
        <f>10^(3*(4.12+0.01*'List of stations'!AA5)/-1.44+3*LOG10('List of stations'!F5)-3/-1.44*LOG10('List of stations'!Z5))/1000</f>
        <v>27.364591383102997</v>
      </c>
      <c r="K6" s="48">
        <f>10^(3*(2.18+0.0024*'List of stations'!AA5)/-1.26+3*LOG10('List of stations'!F5)-3/-1.26*LOG10('List of stations'!K5)/1000)</f>
        <v>76451.798555048736</v>
      </c>
      <c r="L6" s="52">
        <f>10^(3*(2.58+0.0018*'List of stations'!AA5)/-1.35+3*LOG10('List of stations'!F5)-3/-1.35*LOG10('List of stations'!M5))/1000</f>
        <v>1170.9890305191914</v>
      </c>
      <c r="M6" s="52">
        <f>10^(3*(5.98+0.001*'List of stations'!AA5)/-1.99+3*LOG10('List of stations'!F5)-3/-1.99*LOG10('List of stations'!Y5))/1000</f>
        <v>85.659620100971111</v>
      </c>
      <c r="N6" s="52">
        <f>10^(3*(4.53+0.0023*'List of stations'!AA5)/-1.62+3*LOG10('List of stations'!F5)-3/-1.62*LOG10('List of stations'!Z5))/1000</f>
        <v>20.141568380126415</v>
      </c>
      <c r="O6" s="52">
        <f>2*10^(3.34*LOG10('List of stations'!O5)-2.58)</f>
        <v>23.607958013572421</v>
      </c>
      <c r="P6" s="52">
        <f>2*10^(3.34*LOG10('List of stations'!AJ5)-2.58)</f>
        <v>23.607958013572421</v>
      </c>
      <c r="Q6" s="52">
        <f>2*10^(4.14*LOG10('List of stations'!O5)-3.61)</f>
        <v>16.511851428363926</v>
      </c>
      <c r="R6" s="52">
        <f>10^(2*LOG10('List of stations'!K5)+2.94*LOG10('List of stations'!F5/111.1949266)-1.84)</f>
        <v>1061.7397414906413</v>
      </c>
      <c r="S6" s="52">
        <f>10^(2*LOG10('List of stations'!K5)+3.52*LOG10('List of stations'!F5)-10.62)</f>
        <v>161.76667171000565</v>
      </c>
      <c r="T6" s="52">
        <f>10^(1.55*LOG10('List of stations'!K5^(-0.018*'List of stations'!AA5))+2*LOG10('List of stations'!F5)-8.45)</f>
        <v>1.8412274437355661E-2</v>
      </c>
      <c r="U6" s="52">
        <f>10^(1.47*LOG10('List of stations'!K5^(-0.018*'List of stations'!AA5))+2*LOG10('List of stations'!F5)-4.96)</f>
        <v>56.899367595946913</v>
      </c>
      <c r="Y6" s="55">
        <f>10^(3.75*LOG10('List of stations'!AJ5)+0.5)/1000</f>
        <v>39.841099881636126</v>
      </c>
      <c r="Z6" s="55">
        <f>0.0457088*10^(2.46*EXP(LOG10('List of stations'!AJ5)/1.06))/1000</f>
        <v>364.0589786624638</v>
      </c>
      <c r="AA6" s="55">
        <f>0.000354813*(10^(7.31*(LOG10(('List of stations'!AJ5)^0.4))/1000))</f>
        <v>3.5743468087843892E-4</v>
      </c>
      <c r="AB6" s="55">
        <f>10^(3.75*LOG10('List of stations'!O5)+0.5)/1000</f>
        <v>39.841099881636126</v>
      </c>
      <c r="AC6" s="55">
        <f>0.0457088*10^(2.46*EXP(LOG10('List of stations'!O5)/1.06))/1000</f>
        <v>364.0589786624638</v>
      </c>
      <c r="AD6" s="55">
        <f>0.000354813*(10^(7.31*(LOG10(('List of stations'!O5)^0.4))/1000))</f>
        <v>3.5743468087843892E-4</v>
      </c>
      <c r="AE6" s="55">
        <f>630.957*(AB5*1000)^0.33</f>
        <v>0</v>
      </c>
      <c r="AF6" s="55">
        <f>'List of stations'!F5-'Energy Estimate'!AE5</f>
        <v>2278</v>
      </c>
      <c r="AG6" s="48" t="e">
        <f>1.09+13.4*EXP(-'List of stations'!F5/('Energy Estimate'!AB5*1000)^0.5/114)</f>
        <v>#DIV/0!</v>
      </c>
      <c r="AH6" s="48">
        <f>'List of stations'!AI5-'Energy Estimate'!AG5</f>
        <v>5</v>
      </c>
      <c r="AI6" s="48" t="e">
        <f>0.31+4.25*EXP(-'List of stations'!F5/('Energy Estimate'!AB5*1000)^0.5/60.1)</f>
        <v>#DIV/0!</v>
      </c>
      <c r="AJ6" s="48">
        <f>'List of stations'!AH5-'Energy Estimate'!AI5</f>
        <v>0.02</v>
      </c>
      <c r="AK6" s="48">
        <f>10^((LOG10('List of stations'!K5)-4.38+1.06*LOG10('List of stations'!F5*1000)-0.0068*'List of stations'!AA5)/0.44)/1000</f>
        <v>3231.8228579518945</v>
      </c>
      <c r="AL6" s="48">
        <f>10^((LOG10('List of stations'!M5)-4.71+1.08*LOG10('List of stations'!F5*1000)-0.0068*'List of stations'!AA5)/0.42)/1000</f>
        <v>9692.8309277475491</v>
      </c>
    </row>
    <row r="7" spans="1:40" x14ac:dyDescent="0.2">
      <c r="A7" s="18"/>
      <c r="B7" t="s">
        <v>126</v>
      </c>
      <c r="C7" s="50">
        <f>10^(3*(3.41+0.0181*'List of stations'!AC6)/-1.87+3*LOG10('List of stations'!F6)-3/-1.87*LOG10('List of stations'!K6))/1000</f>
        <v>47.607204697099242</v>
      </c>
      <c r="D7" s="50">
        <f>10^(3*(3.58+0.0181*'List of stations'!AC6)/-1.86+3*LOG10('List of stations'!F6)-3/-1.86*LOG10('List of stations'!M6))/1000</f>
        <v>36.860708222976051</v>
      </c>
      <c r="E7" s="50">
        <f>10^(3*(9.64+0.0369*'List of stations'!AC6)/-3.95+3*LOG10('List of stations'!F6)-3/-3.95*LOG10('List of stations'!Y6))/1000</f>
        <v>11.481833916458092</v>
      </c>
      <c r="F7" s="51">
        <f>10^(3*(4.73+0.0106*'List of stations'!AC6)/-1.69+3*LOG10('List of stations'!F6)-3/-1.69*LOG10('List of stations'!Z6))/1000</f>
        <v>1.8318712097534553</v>
      </c>
      <c r="G7" s="50">
        <f>10^(3*(3.21+0.0174*'List of stations'!AA6)/-1.75+3*LOG10('List of stations'!F6)-3/-1.75*LOG10('List of stations'!K6))/1000</f>
        <v>41.21658580277829</v>
      </c>
      <c r="H7" s="50">
        <f>10^(3*(3.36+0.0177*'List of stations'!AA6)/-1.74+3*LOG10('List of stations'!F6)-3/-1.74*LOG10('List of stations'!M6))/1000</f>
        <v>33.91745844081958</v>
      </c>
      <c r="I7" s="50">
        <f>10^(3*(9.2+0.0038*'List of stations'!AA6)/-3.64+3*LOG10('List of stations'!F6)-3/-3.64*LOG10('List of stations'!Y6))/1000</f>
        <v>7.3531290282120754</v>
      </c>
      <c r="J7" s="50">
        <f>10^(3*(4.12+0.01*'List of stations'!AA6)/-1.44+3*LOG10('List of stations'!F6)-3/-1.44*LOG10('List of stations'!Z6))/1000</f>
        <v>1.8262381455930574</v>
      </c>
      <c r="K7" s="48">
        <f>10^(3*(2.18+0.0024*'List of stations'!AA6)/-1.26+3*LOG10('List of stations'!F6)-3/-1.26*LOG10('List of stations'!K6)/1000)</f>
        <v>250880.21784269458</v>
      </c>
      <c r="L7" s="52">
        <f>10^(3*(2.58+0.0018*'List of stations'!AA6)/-1.35+3*LOG10('List of stations'!F6)-3/-1.35*LOG10('List of stations'!M6))/1000</f>
        <v>32.586610042705111</v>
      </c>
      <c r="M7" s="52">
        <f>10^(3*(5.98+0.001*'List of stations'!AA6)/-1.99+3*LOG10('List of stations'!F6)-3/-1.99*LOG10('List of stations'!Y6))/1000</f>
        <v>1.3978560133859979</v>
      </c>
      <c r="N7" s="52">
        <f>10^(3*(4.53+0.0023*'List of stations'!AA6)/-1.62+3*LOG10('List of stations'!F6)-3/-1.62*LOG10('List of stations'!Z6))/1000</f>
        <v>2.0731757277812544</v>
      </c>
      <c r="O7" s="52">
        <f>2*10^(3.34*LOG10('List of stations'!O6)-2.58)</f>
        <v>17.310595047471772</v>
      </c>
      <c r="P7" s="52">
        <f>2*10^(3.34*LOG10('List of stations'!AJ6)-2.58)</f>
        <v>17.310595047471772</v>
      </c>
      <c r="Q7" s="52">
        <f>2*10^(4.14*LOG10('List of stations'!O6)-3.61)</f>
        <v>11.240218449945079</v>
      </c>
      <c r="R7" s="52">
        <f>10^(2*LOG10('List of stations'!K6)+2.94*LOG10('List of stations'!F6/111.1949266)-1.84)</f>
        <v>93.72361530524158</v>
      </c>
      <c r="S7" s="52">
        <f>10^(2*LOG10('List of stations'!K6)+3.52*LOG10('List of stations'!F6)-10.62)</f>
        <v>17.982690796958316</v>
      </c>
      <c r="T7" s="52">
        <f>10^(1.55*LOG10('List of stations'!K6^(-0.018*'List of stations'!AA6))+2*LOG10('List of stations'!F6)-8.45)</f>
        <v>4.0775509504111768E-2</v>
      </c>
      <c r="U7" s="52">
        <f>10^(1.47*LOG10('List of stations'!K6^(-0.018*'List of stations'!AA6))+2*LOG10('List of stations'!F6)-4.96)</f>
        <v>126.00837077897097</v>
      </c>
      <c r="V7" s="48"/>
      <c r="W7" s="48"/>
      <c r="X7" s="48"/>
      <c r="Y7" s="55">
        <f>10^(3.75*LOG10('List of stations'!AJ6)+0.5)/1000</f>
        <v>28.12186784912323</v>
      </c>
      <c r="Z7" s="55">
        <f>0.0457088*10^(2.46*EXP(LOG10('List of stations'!AJ6)/1.06))/1000</f>
        <v>201.11801209719894</v>
      </c>
      <c r="AA7" s="55">
        <f>0.000354813*(10^(7.31*(LOG10(('List of stations'!AJ6)^0.4))/1000))</f>
        <v>3.5733760718430446E-4</v>
      </c>
      <c r="AB7" s="55">
        <f>10^(3.75*LOG10('List of stations'!O6)+0.5)/1000</f>
        <v>28.12186784912323</v>
      </c>
      <c r="AC7" s="55">
        <f>0.0457088*10^(2.46*EXP(LOG10('List of stations'!O6)/1.06))/1000</f>
        <v>201.11801209719894</v>
      </c>
      <c r="AD7" s="55">
        <f>0.000354813*(10^(7.31*(LOG10(('List of stations'!O6)^0.4))/1000))</f>
        <v>3.5733760718430446E-4</v>
      </c>
      <c r="AE7" s="55">
        <f>630.957*(AB6*1000)^0.33</f>
        <v>20802.191893217354</v>
      </c>
      <c r="AF7" s="55">
        <f>'List of stations'!F6-'Energy Estimate'!AE6</f>
        <v>3390</v>
      </c>
      <c r="AG7" s="48">
        <f>1.09+13.4*EXP(-'List of stations'!F6/('Energy Estimate'!AB6*1000)^0.5/114)</f>
        <v>12.635252221587161</v>
      </c>
      <c r="AH7" s="48" t="e">
        <f>'List of stations'!AI6-'Energy Estimate'!AG6</f>
        <v>#DIV/0!</v>
      </c>
      <c r="AI7" s="48">
        <f>0.31+4.25*EXP(-'List of stations'!F6/('Energy Estimate'!AB6*1000)^0.5/60.1)</f>
        <v>3.5137665865368852</v>
      </c>
      <c r="AJ7" s="48" t="e">
        <f>'List of stations'!AH6-'Energy Estimate'!AI6</f>
        <v>#DIV/0!</v>
      </c>
      <c r="AK7" s="48">
        <f>10^((LOG10('List of stations'!K6)-4.38+1.06*LOG10('List of stations'!F6*1000)-0.0068*'List of stations'!AA6)/0.44)/1000</f>
        <v>141.46647172073361</v>
      </c>
      <c r="AL7" s="48">
        <f>10^((LOG10('List of stations'!M6)-4.71+1.08*LOG10('List of stations'!F6*1000)-0.0068*'List of stations'!AA6)/0.42)/1000</f>
        <v>161.74921303885267</v>
      </c>
      <c r="AM7" s="48"/>
    </row>
    <row r="8" spans="1:40" x14ac:dyDescent="0.2">
      <c r="B8" t="s">
        <v>109</v>
      </c>
      <c r="C8" s="50">
        <f>10^(3*(3.41+0.0181*'List of stations'!AC7)/-1.87+3*LOG10('List of stations'!F7)-3/-1.87*LOG10('List of stations'!K7))/1000</f>
        <v>1273.3752104369669</v>
      </c>
      <c r="D8" s="50">
        <f>10^(3*(3.58+0.0181*'List of stations'!AC7)/-1.86+3*LOG10('List of stations'!F7)-3/-1.86*LOG10('List of stations'!M7))/1000</f>
        <v>1406.3226236572489</v>
      </c>
      <c r="E8" s="50">
        <f>10^(3*(9.64+0.0369*'List of stations'!AC7)/-3.95+3*LOG10('List of stations'!F7)-3/-3.95*LOG10('List of stations'!Y7))/1000</f>
        <v>227.45920420280521</v>
      </c>
      <c r="F8" s="51">
        <f>10^(3*(4.73+0.0106*'List of stations'!AC7)/-1.69+3*LOG10('List of stations'!F7)-3/-1.69*LOG10('List of stations'!Z7))/1000</f>
        <v>505.23989911524035</v>
      </c>
      <c r="G8" s="50">
        <f>10^(3*(3.21+0.0174*'List of stations'!AA7)/-1.75+3*LOG10('List of stations'!F7)-3/-1.75*LOG10('List of stations'!K7))/1000</f>
        <v>1304.6641403819597</v>
      </c>
      <c r="H8" s="50">
        <f>10^(3*(3.36+0.0177*'List of stations'!AA7)/-1.74+3*LOG10('List of stations'!F7)-3/-1.74*LOG10('List of stations'!M7))/1000</f>
        <v>1570.8873018815066</v>
      </c>
      <c r="I8" s="50">
        <f>10^(3*(9.2+0.0038*'List of stations'!AA7)/-3.64+3*LOG10('List of stations'!F7)-3/-3.64*LOG10('List of stations'!Y7))/1000</f>
        <v>175.02591104077104</v>
      </c>
      <c r="J8" s="50">
        <f>10^(3*(4.12+0.01*'List of stations'!AA7)/-1.44+3*LOG10('List of stations'!F7)-3/-1.44*LOG10('List of stations'!Z7))/1000</f>
        <v>1156.8288298022339</v>
      </c>
      <c r="K8" s="48">
        <f>10^(3*(2.18+0.0024*'List of stations'!AA7)/-1.26+3*LOG10('List of stations'!F7)-3/-1.26*LOG10('List of stations'!K7)/1000)</f>
        <v>577649.50436229503</v>
      </c>
      <c r="L8" s="52">
        <f>10^(3*(2.58+0.0018*'List of stations'!AA7)/-1.35+3*LOG10('List of stations'!F7)-3/-1.35*LOG10('List of stations'!M7))/1000</f>
        <v>3595.7688689583119</v>
      </c>
      <c r="M8" s="52">
        <f>10^(3*(5.98+0.001*'List of stations'!AA7)/-1.99+3*LOG10('List of stations'!F7)-3/-1.99*LOG10('List of stations'!Y7))/1000</f>
        <v>231.48203941465232</v>
      </c>
      <c r="N8" s="52">
        <f>10^(3*(4.53+0.0023*'List of stations'!AA7)/-1.62+3*LOG10('List of stations'!F7)-3/-1.62*LOG10('List of stations'!Z7))/1000</f>
        <v>703.25824679346147</v>
      </c>
      <c r="O8" s="52">
        <f>2*10^(3.34*LOG10('List of stations'!O7)-2.58)</f>
        <v>137.1647259342661</v>
      </c>
      <c r="P8" s="52">
        <f>2*10^(3.34*LOG10('List of stations'!AJ7)-2.58)</f>
        <v>137.1647259342661</v>
      </c>
      <c r="Q8" s="52">
        <f>2*10^(4.14*LOG10('List of stations'!O7)-3.61)</f>
        <v>146.22373599230411</v>
      </c>
      <c r="R8" s="52">
        <f>10^(2*LOG10('List of stations'!K7)+2.94*LOG10('List of stations'!F7/111.1949266)-1.84)</f>
        <v>4518.893217727692</v>
      </c>
      <c r="S8" s="52">
        <f>10^(2*LOG10('List of stations'!K7)+3.52*LOG10('List of stations'!F7)-10.62)</f>
        <v>1018.0206948774959</v>
      </c>
      <c r="T8" s="52">
        <f>10^(1.55*LOG10('List of stations'!K7^(-0.018*'List of stations'!AA7))+2*LOG10('List of stations'!F7)-8.45)</f>
        <v>7.0926632354502916E-2</v>
      </c>
      <c r="U8" s="52">
        <f>10^(1.47*LOG10('List of stations'!K7^(-0.018*'List of stations'!AA7))+2*LOG10('List of stations'!F7)-4.96)</f>
        <v>219.18424800869082</v>
      </c>
      <c r="V8" s="48"/>
      <c r="W8" s="48"/>
      <c r="X8" s="48"/>
      <c r="Y8" s="55">
        <f>10^(3.75*LOG10('List of stations'!AJ7)+0.5)/1000</f>
        <v>287.2912211058682</v>
      </c>
      <c r="Z8" s="55">
        <f>0.0457088*10^(2.46*EXP(LOG10('List of stations'!AJ7)/1.06))/1000</f>
        <v>16739.738201575325</v>
      </c>
      <c r="AA8" s="55">
        <f>0.000354813*(10^(7.31*(LOG10(('List of stations'!AJ7)^0.4))/1000))</f>
        <v>3.5798571155005754E-4</v>
      </c>
      <c r="AB8" s="55">
        <f>10^(3.75*LOG10('List of stations'!O7)+0.5)/1000</f>
        <v>287.2912211058682</v>
      </c>
      <c r="AC8" s="55">
        <f>0.0457088*10^(2.46*EXP(LOG10('List of stations'!O7)/1.06))/1000</f>
        <v>16739.738201575325</v>
      </c>
      <c r="AD8" s="55">
        <f>0.000354813*(10^(7.31*(LOG10(('List of stations'!O7)^0.4))/1000))</f>
        <v>3.5798571155005754E-4</v>
      </c>
      <c r="AE8" s="55">
        <f t="shared" ref="AE8:AE13" si="0">630.957*(AB7*1000)^0.33</f>
        <v>18543.185236444206</v>
      </c>
      <c r="AF8" s="55">
        <f>'List of stations'!F7-'Energy Estimate'!AE7</f>
        <v>-16331.191893217354</v>
      </c>
      <c r="AG8" s="48">
        <f>1.09+13.4*EXP(-'List of stations'!F7/('Energy Estimate'!AB7*1000)^0.5/114)</f>
        <v>11.6956085771149</v>
      </c>
      <c r="AH8" s="48">
        <f>'List of stations'!AI7-'Energy Estimate'!AG7</f>
        <v>-11.135252221587161</v>
      </c>
      <c r="AI8" s="48">
        <f>0.31+4.25*EXP(-'List of stations'!F7/('Energy Estimate'!AB7*1000)^0.5/60.1)</f>
        <v>3.0372725627134129</v>
      </c>
      <c r="AJ8" s="48">
        <f>'List of stations'!AH7-'Energy Estimate'!AI7</f>
        <v>-3.4937665865368852</v>
      </c>
      <c r="AK8" s="48">
        <f>10^((LOG10('List of stations'!K7)-4.38+1.06*LOG10('List of stations'!F7*1000)-0.0068*'List of stations'!AA7)/0.44)/1000</f>
        <v>8940.3053270589608</v>
      </c>
      <c r="AL8" s="48">
        <f>10^((LOG10('List of stations'!M7)-4.71+1.08*LOG10('List of stations'!F7*1000)-0.0068*'List of stations'!AA7)/0.42)/1000</f>
        <v>20904.078865697837</v>
      </c>
    </row>
    <row r="9" spans="1:40" x14ac:dyDescent="0.2">
      <c r="B9" t="s">
        <v>113</v>
      </c>
      <c r="C9" s="50">
        <f>10^(3*(3.41+0.0181*'List of stations'!AC8)/-1.87+3*LOG10('List of stations'!F8)-3/-1.87*LOG10('List of stations'!K8))/1000</f>
        <v>118.17168911150442</v>
      </c>
      <c r="D9" s="50">
        <f>10^(3*(3.58+0.0181*'List of stations'!AC8)/-1.86+3*LOG10('List of stations'!F8)-3/-1.86*LOG10('List of stations'!M8))/1000</f>
        <v>114.65688656494437</v>
      </c>
      <c r="E9" s="50">
        <f>10^(3*(9.64+0.0369*'List of stations'!AC8)/-3.95+3*LOG10('List of stations'!F8)-3/-3.95*LOG10('List of stations'!Y8))/1000</f>
        <v>9.5372950490109005</v>
      </c>
      <c r="F9" s="51">
        <f>10^(3*(4.73+0.0106*'List of stations'!AC8)/-1.69+3*LOG10('List of stations'!F8)-3/-1.69*LOG10('List of stations'!Z8))/1000</f>
        <v>0.72721104005722459</v>
      </c>
      <c r="G9" s="50">
        <f>10^(3*(3.21+0.0174*'List of stations'!AA8)/-1.75+3*LOG10('List of stations'!F8)-3/-1.75*LOG10('List of stations'!K8))/1000</f>
        <v>102.09459106236139</v>
      </c>
      <c r="H9" s="50">
        <f>10^(3*(3.36+0.0177*'List of stations'!AA8)/-1.74+3*LOG10('List of stations'!F8)-3/-1.74*LOG10('List of stations'!M8))/1000</f>
        <v>106.93080206736332</v>
      </c>
      <c r="I9" s="50">
        <f>10^(3*(9.2+0.0038*'List of stations'!AA8)/-3.64+3*LOG10('List of stations'!F8)-3/-3.64*LOG10('List of stations'!Y8))/1000</f>
        <v>5.5496582494604194</v>
      </c>
      <c r="J9" s="50">
        <f>10^(3*(4.12+0.01*'List of stations'!AA8)/-1.44+3*LOG10('List of stations'!F8)-3/-1.44*LOG10('List of stations'!Z8))/1000</f>
        <v>0.52457955700050574</v>
      </c>
      <c r="K9" s="48">
        <f>10^(3*(2.18+0.0024*'List of stations'!AA8)/-1.26+3*LOG10('List of stations'!F8)-3/-1.26*LOG10('List of stations'!K8)/1000)</f>
        <v>642035.31160777796</v>
      </c>
      <c r="L9" s="52">
        <f>10^(3*(2.58+0.0018*'List of stations'!AA8)/-1.35+3*LOG10('List of stations'!F8)-3/-1.35*LOG10('List of stations'!M8))/1000</f>
        <v>109.11453385489497</v>
      </c>
      <c r="M9" s="52">
        <f>10^(3*(5.98+0.001*'List of stations'!AA8)/-1.99+3*LOG10('List of stations'!F8)-3/-1.99*LOG10('List of stations'!Y8))/1000</f>
        <v>0.38330587129128424</v>
      </c>
      <c r="N9" s="52">
        <f>10^(3*(4.53+0.0023*'List of stations'!AA8)/-1.62+3*LOG10('List of stations'!F8)-3/-1.62*LOG10('List of stations'!Z8))/1000</f>
        <v>0.75932880011179793</v>
      </c>
      <c r="O9" s="52">
        <f>2*10^(3.34*LOG10('List of stations'!O8)-2.58)</f>
        <v>49.743675034904804</v>
      </c>
      <c r="P9" s="52">
        <f>2*10^(3.34*LOG10('List of stations'!AJ8)-2.58)</f>
        <v>49.743675034904804</v>
      </c>
      <c r="Q9" s="52">
        <f>2*10^(4.14*LOG10('List of stations'!O8)-3.61)</f>
        <v>41.5913700032756</v>
      </c>
      <c r="R9" s="52">
        <f>10^(2*LOG10('List of stations'!K8)+2.94*LOG10('List of stations'!F8/111.1949266)-1.84)</f>
        <v>226.59688222530946</v>
      </c>
      <c r="S9" s="52">
        <f>10^(2*LOG10('List of stations'!K8)+3.52*LOG10('List of stations'!F8)-10.62)</f>
        <v>52.138828017681632</v>
      </c>
      <c r="T9" s="52">
        <f>10^(1.55*LOG10('List of stations'!K8^(-0.018*'List of stations'!AA8))+2*LOG10('List of stations'!F8)-8.45)</f>
        <v>7.6291155334074365E-2</v>
      </c>
      <c r="U9" s="52">
        <f>10^(1.47*LOG10('List of stations'!K8^(-0.018*'List of stations'!AA8))+2*LOG10('List of stations'!F8)-4.96)</f>
        <v>235.76220887007455</v>
      </c>
      <c r="V9" s="48"/>
      <c r="W9" s="48"/>
      <c r="X9" s="48"/>
      <c r="Y9" s="55">
        <f>10^(3.75*LOG10('List of stations'!AJ8)+0.5)/1000</f>
        <v>91.990688248327118</v>
      </c>
      <c r="Z9" s="55">
        <f>0.0457088*10^(2.46*EXP(LOG10('List of stations'!AJ8)/1.06))/1000</f>
        <v>1666.6682470798251</v>
      </c>
      <c r="AA9" s="55">
        <f>0.000354813*(10^(7.31*(LOG10(('List of stations'!AJ8)^0.4))/1000))</f>
        <v>3.5766797300803795E-4</v>
      </c>
      <c r="AB9" s="55">
        <f>10^(3.75*LOG10('List of stations'!O8)+0.5)/1000</f>
        <v>91.990688248327118</v>
      </c>
      <c r="AC9" s="55">
        <f>0.0457088*10^(2.46*EXP(LOG10('List of stations'!O8)/1.06))/1000</f>
        <v>1666.6682470798251</v>
      </c>
      <c r="AD9" s="55">
        <f>0.000354813*(10^(7.31*(LOG10(('List of stations'!O8)^0.4))/1000))</f>
        <v>3.5766797300803795E-4</v>
      </c>
      <c r="AE9" s="55">
        <f t="shared" si="0"/>
        <v>39925.111724775386</v>
      </c>
      <c r="AF9" s="55">
        <f>'List of stations'!F8-'Energy Estimate'!AE8</f>
        <v>-13906.185236444206</v>
      </c>
      <c r="AG9" s="48">
        <f>1.09+13.4*EXP(-'List of stations'!F8/('Energy Estimate'!AB8*1000)^0.5/114)</f>
        <v>13.510732639934822</v>
      </c>
      <c r="AH9" s="48">
        <f>'List of stations'!AI8-'Energy Estimate'!AG8</f>
        <v>-10.1956085771149</v>
      </c>
      <c r="AI9" s="48">
        <f>0.31+4.25*EXP(-'List of stations'!F8/('Energy Estimate'!AB8*1000)^0.5/60.1)</f>
        <v>3.9902194051383995</v>
      </c>
      <c r="AJ9" s="48">
        <f>'List of stations'!AH8-'Energy Estimate'!AI8</f>
        <v>-3.0072725627134131</v>
      </c>
      <c r="AK9" s="48">
        <f>10^((LOG10('List of stations'!K8)-4.38+1.06*LOG10('List of stations'!F8*1000)-0.0068*'List of stations'!AA8)/0.44)/1000</f>
        <v>288.12356831887303</v>
      </c>
      <c r="AL9" s="48">
        <f>10^((LOG10('List of stations'!M8)-4.71+1.08*LOG10('List of stations'!F8*1000)-0.0068*'List of stations'!AA8)/0.42)/1000</f>
        <v>482.74946069768475</v>
      </c>
    </row>
    <row r="10" spans="1:40" x14ac:dyDescent="0.2">
      <c r="A10" s="18"/>
      <c r="B10" s="3" t="s">
        <v>114</v>
      </c>
      <c r="C10" s="50">
        <f>10^(3*(3.41+0.0181*'List of stations'!AC9)/-1.87+3*LOG10('List of stations'!F9)-3/-1.87*LOG10('List of stations'!K9))/1000</f>
        <v>91.536346367578929</v>
      </c>
      <c r="D10" s="50">
        <f>10^(3*(3.58+0.0181*'List of stations'!AC9)/-1.86+3*LOG10('List of stations'!F9)-3/-1.86*LOG10('List of stations'!M9))/1000</f>
        <v>96.334477570698439</v>
      </c>
      <c r="E10" s="50">
        <f>10^(3*(9.64+0.0369*'List of stations'!AC9)/-3.95+3*LOG10('List of stations'!F9)-3/-3.95*LOG10('List of stations'!Y9))/1000</f>
        <v>21.324948058936801</v>
      </c>
      <c r="F10" s="51">
        <f>10^(3*(4.73+0.0106*'List of stations'!AC9)/-1.69+3*LOG10('List of stations'!F9)-3/-1.69*LOG10('List of stations'!Z9))/1000</f>
        <v>12.043452456013179</v>
      </c>
      <c r="G10" s="50">
        <f>10^(3*(3.21+0.0174*'List of stations'!AA9)/-1.75+3*LOG10('List of stations'!F9)-3/-1.75*LOG10('List of stations'!K9))/1000</f>
        <v>76.833076844310042</v>
      </c>
      <c r="H10" s="50">
        <f>10^(3*(3.36+0.0177*'List of stations'!AA9)/-1.74+3*LOG10('List of stations'!F9)-3/-1.74*LOG10('List of stations'!M9))/1000</f>
        <v>87.763176390397959</v>
      </c>
      <c r="I10" s="50">
        <f>10^(3*(9.2+0.0038*'List of stations'!AA9)/-3.64+3*LOG10('List of stations'!F9)-3/-3.64*LOG10('List of stations'!Y9))/1000</f>
        <v>13.102964170467073</v>
      </c>
      <c r="J10" s="50">
        <f>10^(3*(4.12+0.01*'List of stations'!AA9)/-1.44+3*LOG10('List of stations'!F9)-3/-1.44*LOG10('List of stations'!Z9))/1000</f>
        <v>13.742663941702737</v>
      </c>
      <c r="K10" s="48">
        <f>10^(3*(2.18+0.0024*'List of stations'!AA9)/-1.26+3*LOG10('List of stations'!F9)-3/-1.26*LOG10('List of stations'!K9)/1000)</f>
        <v>757119.74684436503</v>
      </c>
      <c r="L10" s="52">
        <f>10^(3*(2.58+0.0018*'List of stations'!AA9)/-1.35+3*LOG10('List of stations'!F9)-3/-1.35*LOG10('List of stations'!M9))/1000</f>
        <v>80.638740859753554</v>
      </c>
      <c r="M10" s="52">
        <f>10^(3*(5.98+0.001*'List of stations'!AA9)/-1.99+3*LOG10('List of stations'!F9)-3/-1.99*LOG10('List of stations'!Y9))/1000</f>
        <v>1.6084565585758253</v>
      </c>
      <c r="N10" s="52">
        <f>10^(3*(4.53+0.0023*'List of stations'!AA9)/-1.62+3*LOG10('List of stations'!F9)-3/-1.62*LOG10('List of stations'!Z9))/1000</f>
        <v>14.0958532199757</v>
      </c>
      <c r="O10" s="52">
        <f>2*10^(3.34*LOG10('List of stations'!O9)-2.58)</f>
        <v>29.090214654929277</v>
      </c>
      <c r="P10" s="52">
        <f>2*10^(3.34*LOG10('List of stations'!AJ9)-2.58)</f>
        <v>29.090214654929277</v>
      </c>
      <c r="Q10" s="52">
        <f>2*10^(4.14*LOG10('List of stations'!O9)-3.61)</f>
        <v>21.38976783996133</v>
      </c>
      <c r="R10" s="52">
        <f>10^(2*LOG10('List of stations'!K9)+2.94*LOG10('List of stations'!F9/111.1949266)-1.84)</f>
        <v>157.69090251780574</v>
      </c>
      <c r="S10" s="52">
        <f>10^(2*LOG10('List of stations'!K9)+3.52*LOG10('List of stations'!F9)-10.62)</f>
        <v>37.463658359892953</v>
      </c>
      <c r="T10" s="52">
        <f>10^(1.55*LOG10('List of stations'!K9^(-0.018*'List of stations'!AA9))+2*LOG10('List of stations'!F9)-8.45)</f>
        <v>8.5190694754981658E-2</v>
      </c>
      <c r="U10" s="52">
        <f>10^(1.47*LOG10('List of stations'!K9^(-0.018*'List of stations'!AA9))+2*LOG10('List of stations'!F9)-4.96)</f>
        <v>263.26441489397916</v>
      </c>
      <c r="V10" s="48"/>
      <c r="W10" s="48"/>
      <c r="X10" s="48"/>
      <c r="Y10" s="55">
        <f>10^(3.75*LOG10('List of stations'!AJ9)+0.5)/1000</f>
        <v>50.367714197223613</v>
      </c>
      <c r="Z10" s="55">
        <f>0.0457088*10^(2.46*EXP(LOG10('List of stations'!AJ9)/1.06))/1000</f>
        <v>549.83332546526128</v>
      </c>
      <c r="AA10" s="55">
        <f>0.000354813*(10^(7.31*(LOG10(('List of stations'!AJ9)^0.4))/1000))</f>
        <v>3.5750002931522106E-4</v>
      </c>
      <c r="AB10" s="55">
        <f>10^(3.75*LOG10('List of stations'!O9)+0.5)/1000</f>
        <v>50.367714197223613</v>
      </c>
      <c r="AC10" s="55">
        <f>0.0457088*10^(2.46*EXP(LOG10('List of stations'!O9)/1.06))/1000</f>
        <v>549.83332546526128</v>
      </c>
      <c r="AD10" s="55">
        <f>0.000354813*(10^(7.31*(LOG10(('List of stations'!O9)^0.4))/1000))</f>
        <v>3.5750002931522106E-4</v>
      </c>
      <c r="AE10" s="55">
        <f t="shared" si="0"/>
        <v>27417.966368401969</v>
      </c>
      <c r="AF10" s="55">
        <f>'List of stations'!F9-'Energy Estimate'!AE9</f>
        <v>-35025.111724775386</v>
      </c>
      <c r="AG10" s="48">
        <f>1.09+13.4*EXP(-'List of stations'!F9/('Energy Estimate'!AB9*1000)^0.5/114)</f>
        <v>12.719425573360496</v>
      </c>
      <c r="AH10" s="48">
        <f>'List of stations'!AI9-'Energy Estimate'!AG9</f>
        <v>-11.510732639934822</v>
      </c>
      <c r="AI10" s="48">
        <f>0.31+4.25*EXP(-'List of stations'!F9/('Energy Estimate'!AB9*1000)^0.5/60.1)</f>
        <v>3.5582173898816625</v>
      </c>
      <c r="AJ10" s="48">
        <f>'List of stations'!AH9-'Energy Estimate'!AI9</f>
        <v>-3.9602194051383997</v>
      </c>
      <c r="AK10" s="48">
        <f>10^((LOG10('List of stations'!K9)-4.38+1.06*LOG10('List of stations'!F9*1000)-0.0068*'List of stations'!AA9)/0.44)/1000</f>
        <v>181.27419753530552</v>
      </c>
      <c r="AL10" s="48">
        <f>10^((LOG10('List of stations'!M9)-4.71+1.08*LOG10('List of stations'!F9*1000)-0.0068*'List of stations'!AA9)/0.42)/1000</f>
        <v>336.97631902080303</v>
      </c>
    </row>
    <row r="11" spans="1:40" x14ac:dyDescent="0.2">
      <c r="A11" s="18"/>
      <c r="B11" s="99" t="s">
        <v>108</v>
      </c>
      <c r="C11" s="50">
        <f>10^(3*(3.41+0.0181*'List of stations'!AC10)/-1.87+3*LOG10('List of stations'!F10)-3/-1.87*LOG10('List of stations'!K10))/1000</f>
        <v>254.56372007668119</v>
      </c>
      <c r="D11" s="50">
        <f>10^(3*(3.58+0.0181*'List of stations'!AC10)/-1.86+3*LOG10('List of stations'!F10)-3/-1.86*LOG10('List of stations'!M10))/1000</f>
        <v>229.46796612128992</v>
      </c>
      <c r="E11" s="50"/>
      <c r="F11" s="51">
        <f>10^(3*(4.73+0.0106*'List of stations'!AC10)/-1.69+3*LOG10('List of stations'!F10)-3/-1.69*LOG10('List of stations'!Z10))/1000</f>
        <v>0.54760311579925058</v>
      </c>
      <c r="G11" s="50">
        <f>10^(3*(3.21+0.0174*'List of stations'!AA10)/-1.75+3*LOG10('List of stations'!F10)-3/-1.75*LOG10('List of stations'!K10))/1000</f>
        <v>226.88185808786085</v>
      </c>
      <c r="H11" s="50">
        <f>10^(3*(3.36+0.0177*'List of stations'!AA10)/-1.74+3*LOG10('List of stations'!F10)-3/-1.74*LOG10('List of stations'!M10))/1000</f>
        <v>219.69094977737785</v>
      </c>
      <c r="I11" s="50"/>
      <c r="J11" s="50">
        <f>10^(3*(4.12+0.01*'List of stations'!AA10)/-1.44+3*LOG10('List of stations'!F10)-3/-1.44*LOG10('List of stations'!Z10))/1000</f>
        <v>0.35610845189595763</v>
      </c>
      <c r="K11" s="48">
        <f>10^(3*(2.18+0.0024*'List of stations'!AA10)/-1.26+3*LOG10('List of stations'!F10)-3/-1.26*LOG10('List of stations'!K10)/1000)</f>
        <v>879135.32613193826</v>
      </c>
      <c r="L11" s="52">
        <f>10^(3*(2.58+0.0018*'List of stations'!AA10)/-1.35+3*LOG10('List of stations'!F10)-3/-1.35*LOG10('List of stations'!M10))/1000</f>
        <v>252.10547730330507</v>
      </c>
      <c r="M11" s="52"/>
      <c r="N11" s="52"/>
      <c r="O11" s="52">
        <f>2*10^(3.34*LOG10('List of stations'!O10)-2.58)</f>
        <v>83.498069719932985</v>
      </c>
      <c r="P11" s="52">
        <f>2*10^(3.34*LOG10('List of stations'!AJ10)-2.58)</f>
        <v>83.498069719932985</v>
      </c>
      <c r="Q11" s="52">
        <f>2*10^(4.14*LOG10('List of stations'!O10)-3.61)</f>
        <v>79.034970517362268</v>
      </c>
      <c r="R11" s="52">
        <f>10^(2*LOG10('List of stations'!K10)+2.94*LOG10('List of stations'!F10/111.1949266)-1.84)</f>
        <v>542.53238175815329</v>
      </c>
      <c r="S11" s="52">
        <f>10^(2*LOG10('List of stations'!K10)+3.52*LOG10('List of stations'!F10)-10.62)</f>
        <v>132.63734989452414</v>
      </c>
      <c r="T11" s="52">
        <f>10^(1.55*LOG10('List of stations'!K10^(-0.018*'List of stations'!AA10))+2*LOG10('List of stations'!F10)-8.45)</f>
        <v>9.4032303793828681E-2</v>
      </c>
      <c r="U11" s="52">
        <f>10^(1.47*LOG10('List of stations'!K10^(-0.018*'List of stations'!AA10))+2*LOG10('List of stations'!F10)-4.96)</f>
        <v>290.58759892279897</v>
      </c>
      <c r="V11" s="48"/>
      <c r="W11" s="48"/>
      <c r="X11" s="48"/>
      <c r="Y11" s="55">
        <f>10^(3.75*LOG10('List of stations'!AJ10)+0.5)/1000</f>
        <v>164.54877585864097</v>
      </c>
      <c r="Z11" s="55">
        <f>0.0457088*10^(2.46*EXP(LOG10('List of stations'!AJ10)/1.06))/1000</f>
        <v>5222.5239397635278</v>
      </c>
      <c r="AA11" s="55">
        <f>0.000354813*(10^(7.31*(LOG10(('List of stations'!AJ10)^0.4))/1000))</f>
        <v>3.578301872699592E-4</v>
      </c>
      <c r="AB11" s="55">
        <f>10^(3.75*LOG10('List of stations'!O10)+0.5)/1000</f>
        <v>164.54877585864097</v>
      </c>
      <c r="AC11" s="55">
        <f>0.0457088*10^(2.46*EXP(LOG10('List of stations'!O10)/1.06))/1000</f>
        <v>5222.5239397635278</v>
      </c>
      <c r="AD11" s="55">
        <f>0.000354813*(10^(7.31*(LOG10(('List of stations'!O10)^0.4))/1000))</f>
        <v>3.578301872699592E-4</v>
      </c>
      <c r="AE11" s="55">
        <f t="shared" si="0"/>
        <v>22475.533159252911</v>
      </c>
      <c r="AF11" s="55">
        <f>'List of stations'!F10-'Energy Estimate'!AE10</f>
        <v>-22269.966368401969</v>
      </c>
      <c r="AG11" s="48">
        <f>1.09+13.4*EXP(-'List of stations'!F10/('Energy Estimate'!AB10*1000)^0.5/114)</f>
        <v>12.047684580109996</v>
      </c>
      <c r="AH11" s="48">
        <f>'List of stations'!AI10-'Energy Estimate'!AG10</f>
        <v>-11.719425573360496</v>
      </c>
      <c r="AI11" s="48">
        <f>0.31+4.25*EXP(-'List of stations'!F10/('Energy Estimate'!AB10*1000)^0.5/60.1)</f>
        <v>3.2115615365872405</v>
      </c>
      <c r="AJ11" s="48">
        <f>'List of stations'!AH10-'Energy Estimate'!AI10</f>
        <v>-3.5082173898816627</v>
      </c>
      <c r="AK11" s="48">
        <f>10^((LOG10('List of stations'!K10)-4.38+1.06*LOG10('List of stations'!F10*1000)-0.0068*'List of stations'!AA10)/0.44)/1000</f>
        <v>704.93628668679969</v>
      </c>
      <c r="AL11" s="48">
        <f>10^((LOG10('List of stations'!M10)-4.71+1.08*LOG10('List of stations'!F10*1000)-0.0068*'List of stations'!AA10)/0.42)/1000</f>
        <v>1107.1676404358311</v>
      </c>
    </row>
    <row r="12" spans="1:40" x14ac:dyDescent="0.2">
      <c r="A12" s="18"/>
      <c r="B12" t="s">
        <v>112</v>
      </c>
      <c r="C12" s="50">
        <f>10^(3*(3.41+0.0181*'List of stations'!AC11)/-1.87+3*LOG10('List of stations'!F11)-3/-1.87*LOG10('List of stations'!K11))/1000</f>
        <v>78.430946110411412</v>
      </c>
      <c r="D12" s="50">
        <f>10^(3*(3.58+0.0181*'List of stations'!AC11)/-1.86+3*LOG10('List of stations'!F11)-3/-1.86*LOG10('List of stations'!M11))/1000</f>
        <v>82.881906956545237</v>
      </c>
      <c r="E12" s="50">
        <f>10^(3*(9.64+0.0369*'List of stations'!AC11)/-3.95+3*LOG10('List of stations'!F11)-3/-3.95*LOG10('List of stations'!Y11))/1000</f>
        <v>17.605103492282595</v>
      </c>
      <c r="F12" s="51">
        <f>10^(3*(4.73+0.0106*'List of stations'!AC11)/-1.69+3*LOG10('List of stations'!F11)-3/-1.69*LOG10('List of stations'!Z11))/1000</f>
        <v>2.4542059666548481</v>
      </c>
      <c r="G12" s="50">
        <f>10^(3*(3.21+0.0174*'List of stations'!AA11)/-1.75+3*LOG10('List of stations'!F11)-3/-1.75*LOG10('List of stations'!K11))/1000</f>
        <v>63.299707968694271</v>
      </c>
      <c r="H12" s="50">
        <f>10^(3*(3.36+0.0177*'List of stations'!AA11)/-1.74+3*LOG10('List of stations'!F11)-3/-1.74*LOG10('List of stations'!M11))/1000</f>
        <v>72.60642126436359</v>
      </c>
      <c r="I12" s="50">
        <f>10^(3*(9.2+0.0038*'List of stations'!AA11)/-3.64+3*LOG10('List of stations'!F11)-3/-3.64*LOG10('List of stations'!Y11))/1000</f>
        <v>10.270258079872734</v>
      </c>
      <c r="J12" s="50">
        <f>10^(3*(4.12+0.01*'List of stations'!AA11)/-1.44+3*LOG10('List of stations'!F11)-3/-1.44*LOG10('List of stations'!Z11))/1000</f>
        <v>1.9760613751972749</v>
      </c>
      <c r="K12" s="48">
        <f>10^(3*(2.18+0.0024*'List of stations'!AA11)/-1.26+3*LOG10('List of stations'!F11)-3/-1.26*LOG10('List of stations'!K11)/1000)</f>
        <v>1148670.473037313</v>
      </c>
      <c r="L12" s="52">
        <f>10^(3*(2.58+0.0018*'List of stations'!AA11)/-1.35+3*LOG10('List of stations'!F11)-3/-1.35*LOG10('List of stations'!M11))/1000</f>
        <v>55.977789773783698</v>
      </c>
      <c r="M12" s="52">
        <f>10^(3*(5.98+0.001*'List of stations'!AA11)/-1.99+3*LOG10('List of stations'!F11)-3/-1.99*LOG10('List of stations'!Y11))/1000</f>
        <v>0.72861905242810054</v>
      </c>
      <c r="N12" s="52">
        <f>10^(3*(4.53+0.0023*'List of stations'!AA11)/-1.62+3*LOG10('List of stations'!F11)-3/-1.62*LOG10('List of stations'!Z11))/1000</f>
        <v>2.6336739278165586</v>
      </c>
      <c r="O12" s="52">
        <f>2*10^(3.34*LOG10('List of stations'!O11)-2.58)</f>
        <v>70.419835841680253</v>
      </c>
      <c r="P12" s="52">
        <f>2*10^(3.34*LOG10('List of stations'!AJ11)-2.58)</f>
        <v>70.419835841680253</v>
      </c>
      <c r="Q12" s="52">
        <f>2*10^(4.14*LOG10('List of stations'!O11)-3.61)</f>
        <v>63.990833328793777</v>
      </c>
      <c r="R12" s="52">
        <f>10^(2*LOG10('List of stations'!K11)+2.94*LOG10('List of stations'!F11/111.1949266)-1.84)</f>
        <v>116.35215278996628</v>
      </c>
      <c r="S12" s="52">
        <f>10^(2*LOG10('List of stations'!K11)+3.52*LOG10('List of stations'!F11)-10.62)</f>
        <v>29.967366347276176</v>
      </c>
      <c r="T12" s="52">
        <f>10^(1.55*LOG10('List of stations'!K11^(-0.018*'List of stations'!AA11))+2*LOG10('List of stations'!F11)-8.45)</f>
        <v>0.11254476333976829</v>
      </c>
      <c r="U12" s="52">
        <f>10^(1.47*LOG10('List of stations'!K11^(-0.018*'List of stations'!AA11))+2*LOG10('List of stations'!F11)-4.96)</f>
        <v>347.79656810220865</v>
      </c>
      <c r="V12" s="48"/>
      <c r="W12" s="48"/>
      <c r="X12" s="48"/>
      <c r="Y12" s="55">
        <f>10^(3.75*LOG10('List of stations'!AJ11)+0.5)/1000</f>
        <v>135.90382369277998</v>
      </c>
      <c r="Z12" s="55">
        <f>0.0457088*10^(2.46*EXP(LOG10('List of stations'!AJ11)/1.06))/1000</f>
        <v>3558.3383791030292</v>
      </c>
      <c r="AA12" s="55">
        <f>0.000354813*(10^(7.31*(LOG10(('List of stations'!AJ11)^0.4))/1000))</f>
        <v>3.5777682750730961E-4</v>
      </c>
      <c r="AB12" s="55">
        <f>10^(3.75*LOG10('List of stations'!O11)+0.5)/1000</f>
        <v>135.90382369277998</v>
      </c>
      <c r="AC12" s="55">
        <f>0.0457088*10^(2.46*EXP(LOG10('List of stations'!O11)/1.06))/1000</f>
        <v>3558.3383791030292</v>
      </c>
      <c r="AD12" s="55">
        <f>0.000354813*(10^(7.31*(LOG10(('List of stations'!O11)^0.4))/1000))</f>
        <v>3.5777682750730961E-4</v>
      </c>
      <c r="AE12" s="55">
        <f t="shared" si="0"/>
        <v>33218.269123867925</v>
      </c>
      <c r="AF12" s="55">
        <f>'List of stations'!F11-'Energy Estimate'!AE11</f>
        <v>-16843.533159252911</v>
      </c>
      <c r="AG12" s="48">
        <f>1.09+13.4*EXP(-'List of stations'!F11/('Energy Estimate'!AB11*1000)^0.5/114)</f>
        <v>12.953483078016639</v>
      </c>
      <c r="AH12" s="48">
        <f>'List of stations'!AI11-'Energy Estimate'!AG11</f>
        <v>-11.447684580109996</v>
      </c>
      <c r="AI12" s="48">
        <f>0.31+4.25*EXP(-'List of stations'!F11/('Energy Estimate'!AB11*1000)^0.5/60.1)</f>
        <v>3.6833409344750025</v>
      </c>
      <c r="AJ12" s="48">
        <f>'List of stations'!AH11-'Energy Estimate'!AI11</f>
        <v>-3.1615615365872407</v>
      </c>
      <c r="AK12" s="48">
        <f>10^((LOG10('List of stations'!K11)-4.38+1.06*LOG10('List of stations'!F11*1000)-0.0068*'List of stations'!AA11)/0.44)/1000</f>
        <v>112.70820595759614</v>
      </c>
      <c r="AL12" s="48">
        <f>10^((LOG10('List of stations'!M11)-4.71+1.08*LOG10('List of stations'!F11*1000)-0.0068*'List of stations'!AA11)/0.42)/1000</f>
        <v>208.38986775105215</v>
      </c>
    </row>
    <row r="13" spans="1:40" x14ac:dyDescent="0.2">
      <c r="A13" s="18"/>
      <c r="B13" t="s">
        <v>129</v>
      </c>
      <c r="C13" s="50">
        <f>10^(3*(3.41+0.0181*'List of stations'!AC12)/-1.87+3*LOG10('List of stations'!F12)-3/-1.87*LOG10('List of stations'!K12))/1000</f>
        <v>67.692198463077673</v>
      </c>
      <c r="D13" s="50">
        <f>10^(3*(3.58+0.0181*'List of stations'!AC12)/-1.86+3*LOG10('List of stations'!F12)-3/-1.86*LOG10('List of stations'!M12))/1000</f>
        <v>81.956685648884672</v>
      </c>
      <c r="E13" s="50">
        <f>10^(3*(9.64+0.0369*'List of stations'!AC12)/-3.95+3*LOG10('List of stations'!F12)-3/-3.95*LOG10('List of stations'!Y12))/1000</f>
        <v>30.011089462938248</v>
      </c>
      <c r="F13" s="51">
        <f>10^(3*(4.73+0.0106*'List of stations'!AC12)/-1.69+3*LOG10('List of stations'!F12)-3/-1.69*LOG10('List of stations'!Z12))/1000</f>
        <v>7.3247351902108084</v>
      </c>
      <c r="G13" s="50">
        <f>10^(3*(3.21+0.0174*'List of stations'!AA12)/-1.75+3*LOG10('List of stations'!F12)-3/-1.75*LOG10('List of stations'!K12))/1000</f>
        <v>53.714088856010655</v>
      </c>
      <c r="H13" s="50">
        <f>10^(3*(3.36+0.0177*'List of stations'!AA12)/-1.74+3*LOG10('List of stations'!F12)-3/-1.74*LOG10('List of stations'!M12))/1000</f>
        <v>71.247024750072995</v>
      </c>
      <c r="I13" s="50">
        <f>10^(3*(9.2+0.0038*'List of stations'!AA12)/-3.64+3*LOG10('List of stations'!F12)-3/-3.64*LOG10('List of stations'!Y12))/1000</f>
        <v>18.165684622634956</v>
      </c>
      <c r="J13" s="50">
        <f>10^(3*(4.12+0.01*'List of stations'!AA12)/-1.44+3*LOG10('List of stations'!F12)-3/-1.44*LOG10('List of stations'!Z12))/1000</f>
        <v>7.0078069490426875</v>
      </c>
      <c r="K13" s="48">
        <f>10^(3*(2.18+0.0024*'List of stations'!AA12)/-1.26+3*LOG10('List of stations'!F12)-3/-1.26*LOG10('List of stations'!K12)/1000)</f>
        <v>1269078.5167266333</v>
      </c>
      <c r="L13" s="52">
        <f>10^(3*(2.58+0.0018*'List of stations'!AA12)/-1.35+3*LOG10('List of stations'!F12)-3/-1.35*LOG10('List of stations'!M12))/1000</f>
        <v>53.074173262305933</v>
      </c>
      <c r="M13" s="52">
        <f>10^(3*(5.98+0.001*'List of stations'!AA12)/-1.99+3*LOG10('List of stations'!F12)-3/-1.99*LOG10('List of stations'!Y12))/1000</f>
        <v>1.9032568564645373</v>
      </c>
      <c r="N13" s="52">
        <f>10^(3*(4.53+0.0023*'List of stations'!AA12)/-1.62+3*LOG10('List of stations'!F12)-3/-1.62*LOG10('List of stations'!Z12))/1000</f>
        <v>8.2051192423904116</v>
      </c>
      <c r="O13" s="52">
        <f>2*10^(3.34*LOG10('List of stations'!O12)-2.58)</f>
        <v>40.735076287700956</v>
      </c>
      <c r="P13" s="52">
        <f>2*10^(3.34*LOG10('List of stations'!AJ12)-2.58)</f>
        <v>40.735076287700956</v>
      </c>
      <c r="Q13" s="52">
        <f>2*10^(4.14*LOG10('List of stations'!O12)-3.61)</f>
        <v>32.467647231566318</v>
      </c>
      <c r="R13" s="52">
        <f>10^(2*LOG10('List of stations'!K12)+2.94*LOG10('List of stations'!F12/111.1949266)-1.84)</f>
        <v>94.289694190667845</v>
      </c>
      <c r="S13" s="52">
        <f>10^(2*LOG10('List of stations'!K12)+3.52*LOG10('List of stations'!F12)-10.62)</f>
        <v>24.75934689362262</v>
      </c>
      <c r="T13" s="52">
        <f>10^(1.55*LOG10('List of stations'!K12^(-0.018*'List of stations'!AA12))+2*LOG10('List of stations'!F12)-8.45)</f>
        <v>0.12030774322347923</v>
      </c>
      <c r="U13" s="52">
        <f>10^(1.47*LOG10('List of stations'!K12^(-0.018*'List of stations'!AA12))+2*LOG10('List of stations'!F12)-4.96)</f>
        <v>371.78646937953556</v>
      </c>
      <c r="V13" s="48"/>
      <c r="W13" s="48"/>
      <c r="X13" s="48"/>
      <c r="Y13" s="55">
        <f>10^(3.75*LOG10('List of stations'!AJ12)+0.5)/1000</f>
        <v>73.506070907846208</v>
      </c>
      <c r="Z13" s="55">
        <f>0.0457088*10^(2.46*EXP(LOG10('List of stations'!AJ12)/1.06))/1000</f>
        <v>1093.3856714375434</v>
      </c>
      <c r="AA13" s="55">
        <f>0.000354813*(10^(7.31*(LOG10(('List of stations'!AJ12)^0.4))/1000))</f>
        <v>3.5760541903119629E-4</v>
      </c>
      <c r="AB13" s="55">
        <f>10^(3.75*LOG10('List of stations'!O12)+0.5)/1000</f>
        <v>73.506070907846208</v>
      </c>
      <c r="AC13" s="55">
        <f>0.0457088*10^(2.46*EXP(LOG10('List of stations'!O12)/1.06))/1000</f>
        <v>1093.3856714375434</v>
      </c>
      <c r="AD13" s="55">
        <f>0.000354813*(10^(7.31*(LOG10(('List of stations'!O12)^0.4))/1000))</f>
        <v>3.5760541903119629E-4</v>
      </c>
      <c r="AE13" s="55">
        <f t="shared" si="0"/>
        <v>31186.469730018805</v>
      </c>
      <c r="AF13" s="55">
        <f>'List of stations'!F12-'Energy Estimate'!AE12</f>
        <v>-27395.269123867925</v>
      </c>
      <c r="AG13" s="48">
        <f>1.09+13.4*EXP(-'List of stations'!F12/('Energy Estimate'!AB12*1000)^0.5/114)</f>
        <v>12.756231397143177</v>
      </c>
      <c r="AH13" s="48">
        <f>'List of stations'!AI12-'Energy Estimate'!AG12</f>
        <v>-11.953483078016639</v>
      </c>
      <c r="AI13" s="48">
        <f>0.31+4.25*EXP(-'List of stations'!F12/('Energy Estimate'!AB12*1000)^0.5/60.1)</f>
        <v>3.5777450222656748</v>
      </c>
      <c r="AJ13" s="48">
        <f>'List of stations'!AH12-'Energy Estimate'!AI12</f>
        <v>-3.6633409344750025</v>
      </c>
      <c r="AK13" s="48">
        <f>10^((LOG10('List of stations'!K12)-4.38+1.06*LOG10('List of stations'!F12*1000)-0.0068*'List of stations'!AA12)/0.44)/1000</f>
        <v>86.039397766382351</v>
      </c>
      <c r="AL13" s="48">
        <f>10^((LOG10('List of stations'!M12)-4.71+1.08*LOG10('List of stations'!F12*1000)-0.0068*'List of stations'!AA12)/0.42)/1000</f>
        <v>192.65510995091449</v>
      </c>
    </row>
    <row r="14" spans="1:40" x14ac:dyDescent="0.2">
      <c r="A14" s="18"/>
      <c r="B14" t="s">
        <v>130</v>
      </c>
      <c r="C14" s="50">
        <f>10^(3*(3.41+0.0181*'List of stations'!AC13)/-1.87+3*LOG10('List of stations'!F13)-3/-1.87*LOG10('List of stations'!K13))/1000</f>
        <v>137.31227091536044</v>
      </c>
      <c r="D14" s="50">
        <f>10^(3*(3.58+0.0181*'List of stations'!AC13)/-1.86+3*LOG10('List of stations'!F13)-3/-1.86*LOG10('List of stations'!M13))/1000</f>
        <v>139.72071234121597</v>
      </c>
      <c r="E14" s="50">
        <f>10^(3*(9.64+0.0369*'List of stations'!AC13)/-3.95+3*LOG10('List of stations'!F13)-3/-3.95*LOG10('List of stations'!Y13))/1000</f>
        <v>59.755454240589771</v>
      </c>
      <c r="F14" s="51">
        <f>10^(3*(4.73+0.0106*'List of stations'!AC13)/-1.69+3*LOG10('List of stations'!F13)-3/-1.69*LOG10('List of stations'!Z13))/1000</f>
        <v>93.642057680895263</v>
      </c>
      <c r="G14" s="50">
        <f>10^(3*(3.21+0.0174*'List of stations'!AA13)/-1.75+3*LOG10('List of stations'!F13)-3/-1.75*LOG10('List of stations'!K13))/1000</f>
        <v>114.27186964846338</v>
      </c>
      <c r="H14" s="50">
        <f>10^(3*(3.36+0.0177*'List of stations'!AA13)/-1.74+3*LOG10('List of stations'!F13)-3/-1.74*LOG10('List of stations'!M13))/1000</f>
        <v>125.90294066046519</v>
      </c>
      <c r="I14" s="50">
        <f>10^(3*(9.2+0.0038*'List of stations'!AA13)/-3.64+3*LOG10('List of stations'!F13)-3/-3.64*LOG10('List of stations'!Y13))/1000</f>
        <v>38.312865765382909</v>
      </c>
      <c r="J14" s="50">
        <f>10^(3*(4.12+0.01*'List of stations'!AA13)/-1.44+3*LOG10('List of stations'!F13)-3/-1.44*LOG10('List of stations'!Z13))/1000</f>
        <v>139.13098978484012</v>
      </c>
      <c r="K14" s="48">
        <f>10^(3*(2.18+0.0024*'List of stations'!AA13)/-1.26+3*LOG10('List of stations'!F13)-3/-1.26*LOG10('List of stations'!K13)/1000)</f>
        <v>1286820.0239133546</v>
      </c>
      <c r="L14" s="52">
        <f>10^(3*(2.58+0.0018*'List of stations'!AA13)/-1.35+3*LOG10('List of stations'!F13)-3/-1.35*LOG10('List of stations'!M13))/1000</f>
        <v>110.14713076693322</v>
      </c>
      <c r="M14" s="52">
        <f>10^(3*(5.98+0.001*'List of stations'!AA13)/-1.99+3*LOG10('List of stations'!F13)-3/-1.99*LOG10('List of stations'!Y13))/1000</f>
        <v>7.3736484402374503</v>
      </c>
      <c r="N14" s="52">
        <f>10^(3*(4.53+0.0023*'List of stations'!AA13)/-1.62+3*LOG10('List of stations'!F13)-3/-1.62*LOG10('List of stations'!Z13))/1000</f>
        <v>117.0421241852752</v>
      </c>
      <c r="O14" s="52">
        <f>2*10^(3.34*LOG10('List of stations'!O13)-2.58)</f>
        <v>126.55750126682138</v>
      </c>
      <c r="P14" s="52">
        <f>2*10^(3.34*LOG10('List of stations'!AJ13)-2.58)</f>
        <v>126.55750126682138</v>
      </c>
      <c r="Q14" s="52">
        <f>2*10^(4.14*LOG10('List of stations'!O13)-3.61)</f>
        <v>132.33995433016017</v>
      </c>
      <c r="R14" s="52">
        <f>10^(2*LOG10('List of stations'!K13)+2.94*LOG10('List of stations'!F13/111.1949266)-1.84)</f>
        <v>226.94220959370452</v>
      </c>
      <c r="S14" s="52">
        <f>10^(2*LOG10('List of stations'!K13)+3.52*LOG10('List of stations'!F13)-10.62)</f>
        <v>59.740570995246209</v>
      </c>
      <c r="T14" s="52">
        <f>10^(1.55*LOG10('List of stations'!K13^(-0.018*'List of stations'!AA13))+2*LOG10('List of stations'!F13)-8.45)</f>
        <v>0.12134299998991545</v>
      </c>
      <c r="U14" s="52">
        <f>10^(1.47*LOG10('List of stations'!K13^(-0.018*'List of stations'!AA13))+2*LOG10('List of stations'!F13)-4.96)</f>
        <v>374.98571863633219</v>
      </c>
      <c r="V14" s="48"/>
      <c r="W14" s="48"/>
      <c r="X14" s="48"/>
      <c r="Y14" s="55">
        <f>10^(3.75*LOG10('List of stations'!AJ13)+0.5)/1000</f>
        <v>262.46837289313515</v>
      </c>
      <c r="Z14" s="55">
        <f>0.0457088*10^(2.46*EXP(LOG10('List of stations'!AJ13)/1.06))/1000</f>
        <v>13791.590393353817</v>
      </c>
      <c r="AA14" s="55">
        <f>0.000354813*(10^(7.31*(LOG10(('List of stations'!AJ13)^0.4))/1000))</f>
        <v>3.5796048832126737E-4</v>
      </c>
      <c r="AB14" s="55">
        <f>10^(3.75*LOG10('List of stations'!O13)+0.5)/1000</f>
        <v>262.46837289313515</v>
      </c>
      <c r="AC14" s="55">
        <f>0.0457088*10^(2.46*EXP(LOG10('List of stations'!O13)/1.06))/1000</f>
        <v>13791.590393353817</v>
      </c>
      <c r="AD14" s="55">
        <f>0.000354813*(10^(7.31*(LOG10(('List of stations'!O13)^0.4))/1000))</f>
        <v>3.5796048832126737E-4</v>
      </c>
      <c r="AE14" s="55">
        <f t="shared" ref="AE14" si="1">630.957*(AB13*1000)^0.33</f>
        <v>25461.642845127077</v>
      </c>
      <c r="AF14" s="55">
        <f>'List of stations'!F13-'Energy Estimate'!AE13</f>
        <v>-25338.469730018805</v>
      </c>
      <c r="AG14" s="48">
        <f>1.09+13.4*EXP(-'List of stations'!F13/('Energy Estimate'!AB13*1000)^0.5/114)</f>
        <v>12.18002539638265</v>
      </c>
      <c r="AH14" s="48">
        <f>'List of stations'!AI13-'Energy Estimate'!AG13</f>
        <v>-12.606231397143176</v>
      </c>
      <c r="AI14" s="48">
        <f>0.31+4.25*EXP(-'List of stations'!F13/('Energy Estimate'!AB13*1000)^0.5/60.1)</f>
        <v>3.2783931427448461</v>
      </c>
      <c r="AJ14" s="48">
        <f>'List of stations'!AH13-'Energy Estimate'!AI13</f>
        <v>-3.5377450222656748</v>
      </c>
      <c r="AK14" s="48">
        <f>10^((LOG10('List of stations'!K13)-4.38+1.06*LOG10('List of stations'!F13*1000)-0.0068*'List of stations'!AA13)/0.44)/1000</f>
        <v>232.50417172916377</v>
      </c>
      <c r="AL14" s="48">
        <f>10^((LOG10('List of stations'!M13)-4.71+1.08*LOG10('List of stations'!F13*1000)-0.0068*'List of stations'!AA13)/0.42)/1000</f>
        <v>420.07194965415056</v>
      </c>
    </row>
    <row r="15" spans="1:40" x14ac:dyDescent="0.2">
      <c r="A15" s="18"/>
      <c r="B15" t="s">
        <v>127</v>
      </c>
      <c r="C15" s="50">
        <f>10^(3*(3.41+0.0181*'List of stations'!AC14)/-1.87+3*LOG10('List of stations'!F14)-3/-1.87*LOG10('List of stations'!K14))/1000</f>
        <v>85.525544436684626</v>
      </c>
      <c r="D15" s="50">
        <f>10^(3*(3.58+0.0181*'List of stations'!AC14)/-1.86+3*LOG10('List of stations'!F14)-3/-1.86*LOG10('List of stations'!M14))/1000</f>
        <v>100.04563190116266</v>
      </c>
      <c r="E15" s="50">
        <f>10^(3*(9.64+0.0369*'List of stations'!AC14)/-3.95+3*LOG10('List of stations'!F14)-3/-3.95*LOG10('List of stations'!Y14))/1000</f>
        <v>30.456742521495602</v>
      </c>
      <c r="F15" s="51">
        <f>10^(3*(4.73+0.0106*'List of stations'!AC14)/-1.69+3*LOG10('List of stations'!F14)-3/-1.69*LOG10('List of stations'!Z14))/1000</f>
        <v>28.104814642884694</v>
      </c>
      <c r="G15" s="50">
        <f>10^(3*(3.21+0.0174*'List of stations'!AA14)/-1.75+3*LOG10('List of stations'!F14)-3/-1.75*LOG10('List of stations'!K14))/1000</f>
        <v>66.875321747953549</v>
      </c>
      <c r="H15" s="50">
        <f>10^(3*(3.36+0.0177*'List of stations'!AA14)/-1.74+3*LOG10('List of stations'!F14)-3/-1.74*LOG10('List of stations'!M14))/1000</f>
        <v>85.493613047953104</v>
      </c>
      <c r="I15" s="50">
        <f>10^(3*(9.2+0.0038*'List of stations'!AA14)/-3.64+3*LOG10('List of stations'!F14)-3/-3.64*LOG10('List of stations'!Y14))/1000</f>
        <v>17.767496005071063</v>
      </c>
      <c r="J15" s="50">
        <f>10^(3*(4.12+0.01*'List of stations'!AA14)/-1.44+3*LOG10('List of stations'!F14)-3/-1.44*LOG10('List of stations'!Z14))/1000</f>
        <v>31.417705255951077</v>
      </c>
      <c r="K15" s="48">
        <f>10^(3*(2.18+0.0024*'List of stations'!AA14)/-1.26+3*LOG10('List of stations'!F14)-3/-1.26*LOG10('List of stations'!K14)/1000)</f>
        <v>1985833.5960234606</v>
      </c>
      <c r="L15" s="52">
        <f>10^(3*(2.58+0.0018*'List of stations'!AA14)/-1.35+3*LOG10('List of stations'!F14)-3/-1.35*LOG10('List of stations'!M14))/1000</f>
        <v>58.980035787715323</v>
      </c>
      <c r="M15" s="52">
        <f>10^(3*(5.98+0.001*'List of stations'!AA14)/-1.99+3*LOG10('List of stations'!F14)-3/-1.99*LOG10('List of stations'!Y14))/1000</f>
        <v>1.2605073799075697</v>
      </c>
      <c r="N15" s="52">
        <f>10^(3*(4.53+0.0023*'List of stations'!AA14)/-1.62+3*LOG10('List of stations'!F14)-3/-1.62*LOG10('List of stations'!Z14))/1000</f>
        <v>32.726492558022244</v>
      </c>
      <c r="O15" s="52">
        <f>2*10^(3.34*LOG10('List of stations'!O14)-2.58)</f>
        <v>11.508798746743134</v>
      </c>
      <c r="P15" s="52">
        <f>2*10^(3.34*LOG10('List of stations'!AJ14)-2.58)</f>
        <v>11.508798746743134</v>
      </c>
      <c r="Q15" s="52">
        <f>2*10^(4.14*LOG10('List of stations'!O14)-3.61)</f>
        <v>6.7768831227840485</v>
      </c>
      <c r="R15" s="52">
        <f>10^(2*LOG10('List of stations'!K14)+2.94*LOG10('List of stations'!F14/111.1949266)-1.84)</f>
        <v>111.99043252740947</v>
      </c>
      <c r="S15" s="52">
        <f>10^(2*LOG10('List of stations'!K14)+3.52*LOG10('List of stations'!F14)-10.62)</f>
        <v>32.068384633992096</v>
      </c>
      <c r="T15" s="52">
        <f>10^(1.55*LOG10('List of stations'!K14^(-0.018*'List of stations'!AA14))+2*LOG10('List of stations'!F14)-8.45)</f>
        <v>0.16218917767676103</v>
      </c>
      <c r="U15" s="52">
        <f>10^(1.47*LOG10('List of stations'!K14^(-0.018*'List of stations'!AA14))+2*LOG10('List of stations'!F14)-4.96)</f>
        <v>501.21247497762937</v>
      </c>
      <c r="V15" s="48"/>
      <c r="W15" s="48"/>
      <c r="X15" s="48"/>
      <c r="Y15" s="55">
        <f>10^(3.75*LOG10('List of stations'!AJ14)+0.5)/1000</f>
        <v>17.782794100389232</v>
      </c>
      <c r="Z15" s="55">
        <f>0.0457088*10^(2.46*EXP(LOG10('List of stations'!AJ14)/1.06))/1000</f>
        <v>95.274875387283288</v>
      </c>
      <c r="AA15" s="55">
        <f>0.000354813*(10^(7.31*(LOG10(('List of stations'!AJ14)^0.4))/1000))</f>
        <v>3.572099302746404E-4</v>
      </c>
      <c r="AB15" s="55">
        <f>10^(3.75*LOG10('List of stations'!O14)+0.5)/1000</f>
        <v>17.782794100389232</v>
      </c>
      <c r="AC15" s="55">
        <f>0.0457088*10^(2.46*EXP(LOG10('List of stations'!O14)/1.06))/1000</f>
        <v>95.274875387283288</v>
      </c>
      <c r="AD15" s="55">
        <f>0.000354813*(10^(7.31*(LOG10(('List of stations'!O14)^0.4))/1000))</f>
        <v>3.572099302746404E-4</v>
      </c>
      <c r="AE15" s="55">
        <f t="shared" ref="AE15" si="2">630.957*(AB13*1000)^0.33</f>
        <v>25461.642845127077</v>
      </c>
      <c r="AF15" s="55">
        <f>'List of stations'!F14-'Energy Estimate'!AE13</f>
        <v>-24425.469730018805</v>
      </c>
      <c r="AG15" s="48">
        <f>1.09+13.4*EXP(-'List of stations'!F14/('Energy Estimate'!AB13*1000)^0.5/114)</f>
        <v>11.857221912087331</v>
      </c>
      <c r="AH15" s="48">
        <f>'List of stations'!AI14-'Energy Estimate'!AG13</f>
        <v>-12.156231397143177</v>
      </c>
      <c r="AI15" s="48">
        <f>0.31+4.25*EXP(-'List of stations'!F14/('Energy Estimate'!AB13*1000)^0.5/60.1)</f>
        <v>3.116642588639654</v>
      </c>
      <c r="AJ15" s="48">
        <f>'List of stations'!AH14-'Energy Estimate'!AI13</f>
        <v>-3.527745022265675</v>
      </c>
      <c r="AK15" s="48">
        <f>10^((LOG10('List of stations'!K14)-4.38+1.06*LOG10('List of stations'!F14*1000)-0.0068*'List of stations'!AA14)/0.44)/1000</f>
        <v>91.025087781117662</v>
      </c>
      <c r="AL15" s="48">
        <f>10^((LOG10('List of stations'!M14)-4.71+1.08*LOG10('List of stations'!F14*1000)-0.0068*'List of stations'!AA14)/0.42)/1000</f>
        <v>195.96428728247722</v>
      </c>
    </row>
    <row r="16" spans="1:40" x14ac:dyDescent="0.2">
      <c r="A16" s="18"/>
      <c r="B16" t="s">
        <v>125</v>
      </c>
      <c r="C16" s="50">
        <f>10^(3*(3.41+0.0181*'List of stations'!AC15)/-1.87+3*LOG10('List of stations'!F15)-3/-1.87*LOG10('List of stations'!K15))/1000</f>
        <v>34.969636875482799</v>
      </c>
      <c r="D16" s="50">
        <f>10^(3*(3.58+0.0181*'List of stations'!AC15)/-1.86+3*LOG10('List of stations'!F15)-3/-1.86*LOG10('List of stations'!M15))/1000</f>
        <v>35.215095635255757</v>
      </c>
      <c r="E16" s="50">
        <f>10^(3*(9.64+0.0369*'List of stations'!AC15)/-3.95+3*LOG10('List of stations'!F15)-3/-3.95*LOG10('List of stations'!Y15))/1000</f>
        <v>8.3136318614220226</v>
      </c>
      <c r="F16" s="51">
        <f>10^(3*(4.73+0.0106*'List of stations'!AC15)/-1.69+3*LOG10('List of stations'!F15)-3/-1.69*LOG10('List of stations'!Z15))/1000</f>
        <v>9.2351174747846638</v>
      </c>
      <c r="G16" s="50">
        <f>10^(3*(3.21+0.0174*'List of stations'!AA15)/-1.75+3*LOG10('List of stations'!F15)-3/-1.75*LOG10('List of stations'!K15))/1000</f>
        <v>24.231158403877814</v>
      </c>
      <c r="H16" s="50">
        <f>10^(3*(3.36+0.0177*'List of stations'!AA15)/-1.74+3*LOG10('List of stations'!F15)-3/-1.74*LOG10('List of stations'!M15))/1000</f>
        <v>26.37476326515721</v>
      </c>
      <c r="I16" s="50">
        <f>10^(3*(9.2+0.0038*'List of stations'!AA15)/-3.64+3*LOG10('List of stations'!F15)-3/-3.64*LOG10('List of stations'!Y15))/1000</f>
        <v>4.0327379567778259</v>
      </c>
      <c r="J16" s="50">
        <f>10^(3*(4.12+0.01*'List of stations'!AA15)/-1.44+3*LOG10('List of stations'!F15)-3/-1.44*LOG10('List of stations'!Z15))/1000</f>
        <v>7.3192500820025099</v>
      </c>
      <c r="K16" s="48">
        <f>10^(3*(2.18+0.0024*'List of stations'!AA15)/-1.26+3*LOG10('List of stations'!F15)-3/-1.26*LOG10('List of stations'!K15)/1000)</f>
        <v>4718862.1849248996</v>
      </c>
      <c r="L16" s="52">
        <f>10^(3*(2.58+0.0018*'List of stations'!AA15)/-1.35+3*LOG10('List of stations'!F15)-3/-1.35*LOG10('List of stations'!M15))/1000</f>
        <v>10.080717403652299</v>
      </c>
      <c r="M16" s="52">
        <f>10^(3*(5.98+0.001*'List of stations'!AA15)/-1.99+3*LOG10('List of stations'!F15)-3/-1.99*LOG10('List of stations'!Y15))/1000</f>
        <v>4.0729998608200452E-2</v>
      </c>
      <c r="N16" s="52">
        <f>10^(3*(4.53+0.0023*'List of stations'!AA15)/-1.62+3*LOG10('List of stations'!F15)-3/-1.62*LOG10('List of stations'!Z15))/1000</f>
        <v>9.8715360118557491</v>
      </c>
      <c r="O16" s="52">
        <f>2*10^(3.34*LOG10('List of stations'!O15)-2.58)</f>
        <v>98.189946375511724</v>
      </c>
      <c r="P16" s="52">
        <f>2*10^(3.34*LOG10('List of stations'!AJ15)-2.58)</f>
        <v>98.189946375511724</v>
      </c>
      <c r="Q16" s="52">
        <f>2*10^(4.14*LOG10('List of stations'!O15)-3.61)</f>
        <v>96.62063860951173</v>
      </c>
      <c r="R16" s="52">
        <f>10^(2*LOG10('List of stations'!K15)+2.94*LOG10('List of stations'!F15/111.1949266)-1.84)</f>
        <v>29.13588718167038</v>
      </c>
      <c r="S16" s="52">
        <f>10^(2*LOG10('List of stations'!K15)+3.52*LOG10('List of stations'!F15)-10.62)</f>
        <v>9.8677232581632754</v>
      </c>
      <c r="T16" s="52">
        <f>10^(1.55*LOG10('List of stations'!K15^(-0.018*'List of stations'!AA15))+2*LOG10('List of stations'!F15)-8.45)</f>
        <v>0.28931803090156089</v>
      </c>
      <c r="U16" s="52">
        <f>10^(1.47*LOG10('List of stations'!K15^(-0.018*'List of stations'!AA15))+2*LOG10('List of stations'!F15)-4.96)</f>
        <v>894.07818943891903</v>
      </c>
      <c r="V16" s="48"/>
      <c r="W16" s="48"/>
      <c r="X16" s="48"/>
      <c r="Y16" s="55">
        <f>10^(3.75*LOG10('List of stations'!AJ15)+0.5)/1000</f>
        <v>197.39038929968129</v>
      </c>
      <c r="Z16" s="55">
        <f>0.0457088*10^(2.46*EXP(LOG10('List of stations'!AJ15)/1.06))/1000</f>
        <v>7580.3850709008339</v>
      </c>
      <c r="AA16" s="55">
        <f>0.000354813*(10^(7.31*(LOG10(('List of stations'!AJ15)^0.4))/1000))</f>
        <v>3.5788096449528516E-4</v>
      </c>
      <c r="AB16" s="55">
        <f>10^(3.75*LOG10('List of stations'!O15)+0.5)/1000</f>
        <v>197.39038929968129</v>
      </c>
      <c r="AC16" s="55">
        <f>0.0457088*10^(2.46*EXP(LOG10('List of stations'!O15)/1.06))/1000</f>
        <v>7580.3850709008339</v>
      </c>
      <c r="AD16" s="55">
        <f>0.000354813*(10^(7.31*(LOG10(('List of stations'!O15)^0.4))/1000))</f>
        <v>3.5788096449528516E-4</v>
      </c>
      <c r="AE16" s="55">
        <f t="shared" ref="AE16" si="3">630.957*(AB15*1000)^0.33</f>
        <v>15940.420104216915</v>
      </c>
      <c r="AF16" s="55">
        <f>'List of stations'!F15-'Energy Estimate'!AE15</f>
        <v>-16431.642845127077</v>
      </c>
      <c r="AG16" s="48">
        <f>1.09+13.4*EXP(-'List of stations'!F15/('Energy Estimate'!AB15*1000)^0.5/114)</f>
        <v>8.4883688995384485</v>
      </c>
      <c r="AH16" s="48">
        <f>'List of stations'!AI15-'Energy Estimate'!AG15</f>
        <v>-11.657221912087332</v>
      </c>
      <c r="AI16" s="48">
        <f>0.31+4.25*EXP(-'List of stations'!F15/('Energy Estimate'!AB15*1000)^0.5/60.1)</f>
        <v>1.6874115545696315</v>
      </c>
      <c r="AJ16" s="48">
        <f>'List of stations'!AH15-'Energy Estimate'!AI15</f>
        <v>-3.0866425886396542</v>
      </c>
      <c r="AK16" s="48">
        <f>10^((LOG10('List of stations'!K15)-4.38+1.06*LOG10('List of stations'!F15*1000)-0.0068*'List of stations'!AA15)/0.44)/1000</f>
        <v>15.050866008488176</v>
      </c>
      <c r="AL16" s="48">
        <f>10^((LOG10('List of stations'!M15)-4.71+1.08*LOG10('List of stations'!F15*1000)-0.0068*'List of stations'!AA15)/0.42)/1000</f>
        <v>24.51151371977727</v>
      </c>
    </row>
    <row r="17" spans="1:38" x14ac:dyDescent="0.2">
      <c r="A17" s="18"/>
      <c r="B17" t="s">
        <v>123</v>
      </c>
      <c r="C17" s="50">
        <f>10^(3*(3.41+0.0181*'List of stations'!AC16)/-1.87+3*LOG10('List of stations'!F16)-3/-1.87*LOG10('List of stations'!K16))/1000</f>
        <v>242.13049838169613</v>
      </c>
      <c r="D17" s="50">
        <f>10^(3*(3.58+0.0181*'List of stations'!AC16)/-1.86+3*LOG10('List of stations'!F16)-3/-1.86*LOG10('List of stations'!M16))/1000</f>
        <v>235.91289464040992</v>
      </c>
      <c r="E17" s="50">
        <f>10^(3*(9.64+0.0369*'List of stations'!AC16)/-3.95+3*LOG10('List of stations'!F16)-3/-3.95*LOG10('List of stations'!Y16))/1000</f>
        <v>42.933754859480807</v>
      </c>
      <c r="F17" s="51">
        <f>10^(3*(4.73+0.0106*'List of stations'!AC16)/-1.69+3*LOG10('List of stations'!F16)-3/-1.69*LOG10('List of stations'!Z16))/1000</f>
        <v>12.375273040262265</v>
      </c>
      <c r="G17" s="50">
        <f>10^(3*(3.21+0.0174*'List of stations'!AA16)/-1.75+3*LOG10('List of stations'!F16)-3/-1.75*LOG10('List of stations'!K16))/1000</f>
        <v>182.45019534714928</v>
      </c>
      <c r="H17" s="50">
        <f>10^(3*(3.36+0.0177*'List of stations'!AA16)/-1.74+3*LOG10('List of stations'!F16)-3/-1.74*LOG10('List of stations'!M16))/1000</f>
        <v>191.79786279117468</v>
      </c>
      <c r="I17" s="50">
        <f>10^(3*(9.2+0.0038*'List of stations'!AA16)/-3.64+3*LOG10('List of stations'!F16)-3/-3.64*LOG10('List of stations'!Y16))/1000</f>
        <v>22.54162841789422</v>
      </c>
      <c r="J17" s="50">
        <f>10^(3*(4.12+0.01*'List of stations'!AA16)/-1.44+3*LOG10('List of stations'!F16)-3/-1.44*LOG10('List of stations'!Z16))/1000</f>
        <v>9.1188467355795382</v>
      </c>
      <c r="K17" s="48">
        <f>10^(3*(2.18+0.0024*'List of stations'!AA16)/-1.26+3*LOG10('List of stations'!F16)-3/-1.26*LOG10('List of stations'!K16)/1000)</f>
        <v>9637814.9202635009</v>
      </c>
      <c r="L17" s="52">
        <f>10^(3*(2.58+0.0018*'List of stations'!AA16)/-1.35+3*LOG10('List of stations'!F16)-3/-1.35*LOG10('List of stations'!M16))/1000</f>
        <v>105.85235876163884</v>
      </c>
      <c r="M17" s="52">
        <f>10^(3*(5.98+0.001*'List of stations'!AA16)/-1.99+3*LOG10('List of stations'!F16)-3/-1.99*LOG10('List of stations'!Y16))/1000</f>
        <v>0.52540246061765328</v>
      </c>
      <c r="N17" s="52">
        <f>10^(3*(4.53+0.0023*'List of stations'!AA16)/-1.62+3*LOG10('List of stations'!F16)-3/-1.62*LOG10('List of stations'!Z16))/1000</f>
        <v>12.990399140184371</v>
      </c>
      <c r="O17" s="52">
        <f>2*10^(3.34*LOG10('List of stations'!O16)-2.58)</f>
        <v>146.0871439777315</v>
      </c>
      <c r="P17" s="52">
        <f>2*10^(3.34*LOG10('List of stations'!AJ16)-2.58)</f>
        <v>146.0871439777315</v>
      </c>
      <c r="Q17" s="52">
        <f>2*10^(4.14*LOG10('List of stations'!O16)-3.61)</f>
        <v>158.10405813618294</v>
      </c>
      <c r="R17" s="52">
        <f>10^(2*LOG10('List of stations'!K16)+2.94*LOG10('List of stations'!F16/111.1949266)-1.84)</f>
        <v>268.89382548912255</v>
      </c>
      <c r="S17" s="52">
        <f>10^(2*LOG10('List of stations'!K16)+3.52*LOG10('List of stations'!F16)-10.62)</f>
        <v>104.51480899647552</v>
      </c>
      <c r="T17" s="52">
        <f>10^(1.55*LOG10('List of stations'!K16^(-0.018*'List of stations'!AA16))+2*LOG10('List of stations'!F16)-8.45)</f>
        <v>0.46516922361994967</v>
      </c>
      <c r="U17" s="52">
        <f>10^(1.47*LOG10('List of stations'!K16^(-0.018*'List of stations'!AA16))+2*LOG10('List of stations'!F16)-4.96)</f>
        <v>1437.5103270986228</v>
      </c>
      <c r="V17" s="48"/>
      <c r="W17" s="48"/>
      <c r="X17" s="48"/>
      <c r="Y17" s="55">
        <f>10^(3.75*LOG10('List of stations'!AJ16)+0.5)/1000</f>
        <v>308.35546514567017</v>
      </c>
      <c r="Z17" s="55">
        <f>0.0457088*10^(2.46*EXP(LOG10('List of stations'!AJ16)/1.06))/1000</f>
        <v>19507.808345127494</v>
      </c>
      <c r="AA17" s="55">
        <f>0.000354813*(10^(7.31*(LOG10(('List of stations'!AJ16)^0.4))/1000))</f>
        <v>3.5800546268500939E-4</v>
      </c>
      <c r="AB17" s="55">
        <f>10^(3.75*LOG10('List of stations'!O16)+0.5)/1000</f>
        <v>308.35546514567017</v>
      </c>
      <c r="AC17" s="55">
        <f>0.0457088*10^(2.46*EXP(LOG10('List of stations'!O16)/1.06))/1000</f>
        <v>19507.808345127494</v>
      </c>
      <c r="AD17" s="55">
        <f>0.000354813*(10^(7.31*(LOG10(('List of stations'!O16)^0.4))/1000))</f>
        <v>3.5800546268500939E-4</v>
      </c>
      <c r="AE17" s="55">
        <f t="shared" ref="AE17" si="4">630.957*(AB16*1000)^0.33</f>
        <v>35274.21389693024</v>
      </c>
      <c r="AF17" s="55">
        <f>'List of stations'!F16-'Energy Estimate'!AE16</f>
        <v>-4490.4201042169152</v>
      </c>
      <c r="AG17" s="48">
        <f>1.09+13.4*EXP(-'List of stations'!F16/('Energy Estimate'!AB16*1000)^0.5/114)</f>
        <v>11.778703821883937</v>
      </c>
      <c r="AH17" s="48">
        <f>'List of stations'!AI16-'Energy Estimate'!AG16</f>
        <v>-8.3183688995384486</v>
      </c>
      <c r="AI17" s="48">
        <f>0.31+4.25*EXP(-'List of stations'!F16/('Energy Estimate'!AB16*1000)^0.5/60.1)</f>
        <v>3.0779470659324333</v>
      </c>
      <c r="AJ17" s="48">
        <f>'List of stations'!AH16-'Energy Estimate'!AI16</f>
        <v>-1.6474115545696315</v>
      </c>
      <c r="AK17" s="48">
        <f>10^((LOG10('List of stations'!K16)-4.38+1.06*LOG10('List of stations'!F16*1000)-0.0068*'List of stations'!AA16)/0.44)/1000</f>
        <v>150.74357360392241</v>
      </c>
      <c r="AL17" s="48">
        <f>10^((LOG10('List of stations'!M16)-4.71+1.08*LOG10('List of stations'!F16*1000)-0.0068*'List of stations'!AA16)/0.42)/1000</f>
        <v>261.35617515214966</v>
      </c>
    </row>
    <row r="18" spans="1:38" x14ac:dyDescent="0.2">
      <c r="A18" s="18"/>
      <c r="B18" t="s">
        <v>124</v>
      </c>
      <c r="C18" s="50">
        <f>10^(3*(3.41+0.0181*'List of stations'!AC17)/-1.87+3*LOG10('List of stations'!F17)-3/-1.87*LOG10('List of stations'!K17))/1000</f>
        <v>186.877545632638</v>
      </c>
      <c r="D18" s="50">
        <f>10^(3*(3.58+0.0181*'List of stations'!AC17)/-1.86+3*LOG10('List of stations'!F17)-3/-1.86*LOG10('List of stations'!M17))/1000</f>
        <v>191.38174177989956</v>
      </c>
      <c r="E18" s="50">
        <f>10^(3*(9.64+0.0369*'List of stations'!AC17)/-3.95+3*LOG10('List of stations'!F17)-3/-3.95*LOG10('List of stations'!Y17))/1000</f>
        <v>31.677624743272979</v>
      </c>
      <c r="F18" s="51">
        <f>10^(3*(4.73+0.0106*'List of stations'!AC17)/-1.69+3*LOG10('List of stations'!F17)-3/-1.69*LOG10('List of stations'!Z17))/1000</f>
        <v>12.087705502771032</v>
      </c>
      <c r="G18" s="50">
        <f>10^(3*(3.21+0.0174*'List of stations'!AA17)/-1.75+3*LOG10('List of stations'!F17)-3/-1.75*LOG10('List of stations'!K17))/1000</f>
        <v>137.40138696274013</v>
      </c>
      <c r="H18" s="50">
        <f>10^(3*(3.36+0.0177*'List of stations'!AA17)/-1.74+3*LOG10('List of stations'!F17)-3/-1.74*LOG10('List of stations'!M17))/1000</f>
        <v>152.32211887404526</v>
      </c>
      <c r="I18" s="50">
        <f>10^(3*(9.2+0.0038*'List of stations'!AA17)/-3.64+3*LOG10('List of stations'!F17)-3/-3.64*LOG10('List of stations'!Y17))/1000</f>
        <v>16.070637004237089</v>
      </c>
      <c r="J18" s="50">
        <f>10^(3*(4.12+0.01*'List of stations'!AA17)/-1.44+3*LOG10('List of stations'!F17)-3/-1.44*LOG10('List of stations'!Z17))/1000</f>
        <v>8.7195639897013049</v>
      </c>
      <c r="K18" s="48">
        <f>10^(3*(2.18+0.0024*'List of stations'!AA17)/-1.26+3*LOG10('List of stations'!F17)-3/-1.26*LOG10('List of stations'!K17)/1000)</f>
        <v>10634720.461078914</v>
      </c>
      <c r="L18" s="52">
        <f>10^(3*(2.58+0.0018*'List of stations'!AA17)/-1.35+3*LOG10('List of stations'!F17)-3/-1.35*LOG10('List of stations'!M17))/1000</f>
        <v>76.434879602631923</v>
      </c>
      <c r="M18" s="52">
        <f>10^(3*(5.98+0.001*'List of stations'!AA17)/-1.99+3*LOG10('List of stations'!F17)-3/-1.99*LOG10('List of stations'!Y17))/1000</f>
        <v>0.26065130457821095</v>
      </c>
      <c r="N18" s="52">
        <f>10^(3*(4.53+0.0023*'List of stations'!AA17)/-1.62+3*LOG10('List of stations'!F17)-3/-1.62*LOG10('List of stations'!Z17))/1000</f>
        <v>12.621567069171064</v>
      </c>
      <c r="O18" s="52">
        <f>2*10^(3.34*LOG10('List of stations'!O17)-2.58)</f>
        <v>183.18103422465427</v>
      </c>
      <c r="P18" s="52">
        <f>2*10^(3.34*LOG10('List of stations'!AJ17)-2.58)</f>
        <v>183.18103422465427</v>
      </c>
      <c r="Q18" s="52">
        <f>2*10^(4.14*LOG10('List of stations'!O17)-3.61)</f>
        <v>209.29019978179028</v>
      </c>
      <c r="R18" s="52">
        <f>10^(2*LOG10('List of stations'!K17)+2.94*LOG10('List of stations'!F17/111.1949266)-1.84)</f>
        <v>189.61796172723311</v>
      </c>
      <c r="S18" s="52">
        <f>10^(2*LOG10('List of stations'!K17)+3.52*LOG10('List of stations'!F17)-10.62)</f>
        <v>75.125192991914233</v>
      </c>
      <c r="T18" s="52">
        <f>10^(1.55*LOG10('List of stations'!K17^(-0.018*'List of stations'!AA17))+2*LOG10('List of stations'!F17)-8.45)</f>
        <v>0.4968932874468201</v>
      </c>
      <c r="U18" s="52">
        <f>10^(1.47*LOG10('List of stations'!K17^(-0.018*'List of stations'!AA17))+2*LOG10('List of stations'!F17)-4.96)</f>
        <v>1535.5470566435695</v>
      </c>
      <c r="V18" s="48"/>
      <c r="W18" s="48"/>
      <c r="X18" s="48"/>
      <c r="Y18" s="55">
        <f>10^(3.75*LOG10('List of stations'!AJ17)+0.5)/1000</f>
        <v>397.54203706106603</v>
      </c>
      <c r="Z18" s="55">
        <f>0.0457088*10^(2.46*EXP(LOG10('List of stations'!AJ17)/1.06))/1000</f>
        <v>34127.68123256656</v>
      </c>
      <c r="AA18" s="55">
        <f>0.000354813*(10^(7.31*(LOG10(('List of stations'!AJ17)^0.4))/1000))</f>
        <v>3.5807638675035275E-4</v>
      </c>
      <c r="AB18" s="55">
        <f>10^(3.75*LOG10('List of stations'!O17)+0.5)/1000</f>
        <v>397.54203706106603</v>
      </c>
      <c r="AC18" s="55">
        <f>0.0457088*10^(2.46*EXP(LOG10('List of stations'!O17)/1.06))/1000</f>
        <v>34127.68123256656</v>
      </c>
      <c r="AD18" s="55">
        <f>0.000354813*(10^(7.31*(LOG10(('List of stations'!O17)^0.4))/1000))</f>
        <v>3.5807638675035275E-4</v>
      </c>
      <c r="AE18" s="55">
        <f t="shared" ref="AE18:AE19" si="5">630.957*(AB17*1000)^0.33</f>
        <v>40868.32208446927</v>
      </c>
      <c r="AF18" s="55">
        <f>'List of stations'!F17-'Energy Estimate'!AE17</f>
        <v>-23440.21389693024</v>
      </c>
      <c r="AG18" s="48">
        <f>1.09+13.4*EXP(-'List of stations'!F17/('Energy Estimate'!AB17*1000)^0.5/114)</f>
        <v>12.20521941833155</v>
      </c>
      <c r="AH18" s="48">
        <f>'List of stations'!AI17-'Energy Estimate'!AG17</f>
        <v>-11.608703821883937</v>
      </c>
      <c r="AI18" s="48">
        <f>0.31+4.25*EXP(-'List of stations'!F17/('Energy Estimate'!AB17*1000)^0.5/60.1)</f>
        <v>3.2911975335476016</v>
      </c>
      <c r="AJ18" s="48">
        <f>'List of stations'!AH17-'Energy Estimate'!AI17</f>
        <v>-3.0479470659324335</v>
      </c>
      <c r="AK18" s="48">
        <f>10^((LOG10('List of stations'!K17)-4.38+1.06*LOG10('List of stations'!F17*1000)-0.0068*'List of stations'!AA17)/0.44)/1000</f>
        <v>98.288249861874974</v>
      </c>
      <c r="AL18" s="48">
        <f>10^((LOG10('List of stations'!M17)-4.71+1.08*LOG10('List of stations'!F17*1000)-0.0068*'List of stations'!AA17)/0.42)/1000</f>
        <v>180.51510578983127</v>
      </c>
    </row>
    <row r="19" spans="1:38" x14ac:dyDescent="0.2">
      <c r="B19" t="s">
        <v>128</v>
      </c>
      <c r="C19" s="50">
        <f>10^(3*(3.41+0.0181*'List of stations'!AC18)/-1.87+3*LOG10('List of stations'!F18)-3/-1.87*LOG10('List of stations'!K18))/1000</f>
        <v>1735.5133889297069</v>
      </c>
      <c r="D19" s="50">
        <f>10^(3*(3.58+0.0181*'List of stations'!AC18)/-1.86+3*LOG10('List of stations'!F18)-3/-1.86*LOG10('List of stations'!M18))/1000</f>
        <v>2345.5904549862744</v>
      </c>
      <c r="E19" s="50">
        <f>10^(3*(9.64+0.0369*'List of stations'!AC18)/-3.95+3*LOG10('List of stations'!F18)-3/-3.95*LOG10('List of stations'!Y18))/1000</f>
        <v>784.30163608592534</v>
      </c>
      <c r="F19" s="51">
        <f>10^(3*(4.73+0.0106*'List of stations'!AC18)/-1.69+3*LOG10('List of stations'!F18)-3/-1.69*LOG10('List of stations'!Z18))/1000</f>
        <v>2324.7534291819306</v>
      </c>
      <c r="G19" s="50">
        <f>10^(3*(3.21+0.0174*'List of stations'!AA18)/-1.75+3*LOG10('List of stations'!F18)-3/-1.75*LOG10('List of stations'!K18))/1000</f>
        <v>1416.4621092670211</v>
      </c>
      <c r="H19" s="50">
        <f>10^(3*(3.36+0.0177*'List of stations'!AA18)/-1.74+3*LOG10('List of stations'!F18)-3/-1.74*LOG10('List of stations'!M18))/1000</f>
        <v>2113.6217452619981</v>
      </c>
      <c r="I19" s="50">
        <f>10^(3*(9.2+0.0038*'List of stations'!AA18)/-3.64+3*LOG10('List of stations'!F18)-3/-3.64*LOG10('List of stations'!Y18))/1000</f>
        <v>492.43316329475465</v>
      </c>
      <c r="J19" s="50">
        <f>10^(3*(4.12+0.01*'List of stations'!AA18)/-1.44+3*LOG10('List of stations'!F18)-3/-1.44*LOG10('List of stations'!Z18))/1000</f>
        <v>3696.8248769865422</v>
      </c>
      <c r="K19" s="48">
        <f>10^(3*(2.18+0.0024*'List of stations'!AA18)/-1.26+3*LOG10('List of stations'!F18)-3/-1.26*LOG10('List of stations'!K18)/1000)</f>
        <v>21593659.669221025</v>
      </c>
      <c r="L19" s="52">
        <f>10^(3*(2.58+0.0018*'List of stations'!AA18)/-1.35+3*LOG10('List of stations'!F18)-3/-1.35*LOG10('List of stations'!M18))/1000</f>
        <v>1849.1178168351662</v>
      </c>
      <c r="M19" s="52">
        <f>10^(3*(5.98+0.001*'List of stations'!AA18)/-1.99+3*LOG10('List of stations'!F18)-3/-1.99*LOG10('List of stations'!Y18))/1000</f>
        <v>75.947505645050029</v>
      </c>
      <c r="N19" s="52">
        <f>10^(3*(4.53+0.0023*'List of stations'!AA18)/-1.62+3*LOG10('List of stations'!F18)-3/-1.62*LOG10('List of stations'!Z18))/1000</f>
        <v>2955.2221333811035</v>
      </c>
      <c r="O19" s="52">
        <f>2*10^(3.34*LOG10('List of stations'!O18)-2.58)</f>
        <v>49.743675034904804</v>
      </c>
      <c r="P19" s="52">
        <f>2*10^(3.34*LOG10('List of stations'!AJ18)-2.58)</f>
        <v>49.743675034904804</v>
      </c>
      <c r="Q19" s="52">
        <f>2*10^(4.14*LOG10('List of stations'!O18)-3.61)</f>
        <v>41.5913700032756</v>
      </c>
      <c r="R19" s="52">
        <f>10^(2*LOG10('List of stations'!K18)+2.94*LOG10('List of stations'!F18/111.1949266)-1.84)</f>
        <v>2527.7073144828969</v>
      </c>
      <c r="S19" s="52">
        <f>10^(2*LOG10('List of stations'!K18)+3.52*LOG10('List of stations'!F18)-10.62)</f>
        <v>1147.9224381619499</v>
      </c>
      <c r="T19" s="52">
        <f>10^(1.55*LOG10('List of stations'!K18^(-0.018*'List of stations'!AA18))+2*LOG10('List of stations'!F18)-8.45)</f>
        <v>0.79556497987803387</v>
      </c>
      <c r="U19" s="52">
        <f>10^(1.47*LOG10('List of stations'!K18^(-0.018*'List of stations'!AA18))+2*LOG10('List of stations'!F18)-4.96)</f>
        <v>2458.5308235848534</v>
      </c>
      <c r="V19" s="48"/>
      <c r="W19" s="48"/>
      <c r="X19" s="48"/>
      <c r="Y19" s="55">
        <f>10^(3.75*LOG10('List of stations'!AJ18)+0.5)/1000</f>
        <v>91.990688248327118</v>
      </c>
      <c r="Z19" s="55">
        <f>0.0457088*10^(2.46*EXP(LOG10('List of stations'!AJ18)/1.06))/1000</f>
        <v>1666.6682470798251</v>
      </c>
      <c r="AA19" s="55">
        <f>0.000354813*(10^(7.31*(LOG10(('List of stations'!AJ18)^0.4))/1000))</f>
        <v>3.5766797300803795E-4</v>
      </c>
      <c r="AB19" s="55">
        <f>10^(3.75*LOG10('List of stations'!O18)+0.5)/1000</f>
        <v>91.990688248327118</v>
      </c>
      <c r="AC19" s="55">
        <f>0.0457088*10^(2.46*EXP(LOG10('List of stations'!O18)/1.06))/1000</f>
        <v>1666.6682470798251</v>
      </c>
      <c r="AD19" s="55">
        <f>0.000354813*(10^(7.31*(LOG10(('List of stations'!O18)^0.4))/1000))</f>
        <v>3.5766797300803795E-4</v>
      </c>
      <c r="AE19" s="55">
        <f t="shared" si="5"/>
        <v>44442.263734710992</v>
      </c>
      <c r="AF19" s="55">
        <f>'List of stations'!F18-'Energy Estimate'!AE18</f>
        <v>-25894.32208446927</v>
      </c>
      <c r="AG19" s="48">
        <f>1.09+13.4*EXP(-'List of stations'!F18/('Energy Estimate'!AB18*1000)^0.5/114)</f>
        <v>11.970037404560681</v>
      </c>
      <c r="AH19" s="48">
        <f>'List of stations'!AI18-'Energy Estimate'!AG18</f>
        <v>-11.70521941833155</v>
      </c>
      <c r="AI19" s="48">
        <f>0.31+4.25*EXP(-'List of stations'!F18/('Energy Estimate'!AB18*1000)^0.5/60.1)</f>
        <v>3.172685094784542</v>
      </c>
      <c r="AJ19" s="48">
        <f>'List of stations'!AH18-'Energy Estimate'!AI18</f>
        <v>-3.2611975335476018</v>
      </c>
      <c r="AK19" s="48">
        <f>10^((LOG10('List of stations'!K18)-4.38+1.06*LOG10('List of stations'!F18*1000)-0.0068*'List of stations'!AA18)/0.44)/1000</f>
        <v>1497.9576252985089</v>
      </c>
      <c r="AL19" s="48">
        <f>10^((LOG10('List of stations'!M18)-4.71+1.08*LOG10('List of stations'!F18*1000)-0.0068*'List of stations'!AA18)/0.42)/1000</f>
        <v>4713.2047460377562</v>
      </c>
    </row>
    <row r="20" spans="1:38" x14ac:dyDescent="0.2">
      <c r="B20" t="s">
        <v>138</v>
      </c>
      <c r="C20" s="50">
        <f>10^(3*(3.41+0.0181*'List of stations'!AC19)/-1.87+3*LOG10('List of stations'!F19)-3/-1.87*LOG10('List of stations'!K19))/1000</f>
        <v>68.363626675941902</v>
      </c>
      <c r="D20" s="50">
        <f>10^(3*(3.58+0.0181*'List of stations'!AC19)/-1.86+3*LOG10('List of stations'!F19)-3/-1.86*LOG10('List of stations'!M19))/1000</f>
        <v>68.843484418737717</v>
      </c>
      <c r="E20" s="50" t="e">
        <f>10^(3*(9.64+0.0369*'List of stations'!AC19)/-3.95+3*LOG10('List of stations'!F19)-3/-3.95*LOG10('List of stations'!Y19))/1000</f>
        <v>#NUM!</v>
      </c>
      <c r="F20" s="51" t="e">
        <f>10^(3*(4.73+0.0106*'List of stations'!AC19)/-1.69+3*LOG10('List of stations'!F19)-3/-1.69*LOG10('List of stations'!Z19))/1000</f>
        <v>#NUM!</v>
      </c>
      <c r="G20" s="50">
        <f>10^(3*(3.21+0.0174*'List of stations'!AA19)/-1.75+3*LOG10('List of stations'!F19)-3/-1.75*LOG10('List of stations'!K19))/1000</f>
        <v>47.37051954376183</v>
      </c>
      <c r="H20" s="50">
        <f>10^(3*(3.36+0.0177*'List of stations'!AA19)/-1.74+3*LOG10('List of stations'!F19)-3/-1.74*LOG10('List of stations'!M19))/1000</f>
        <v>51.561143627135834</v>
      </c>
      <c r="I20" s="50" t="e">
        <f>10^(3*(9.2+0.0038*'List of stations'!AA19)/-3.64+3*LOG10('List of stations'!F19)-3/-3.64*LOG10('List of stations'!Y19))/1000</f>
        <v>#NUM!</v>
      </c>
      <c r="J20" s="50" t="e">
        <f>10^(3*(4.12+0.01*'List of stations'!AA19)/-1.44+3*LOG10('List of stations'!F19)-3/-1.44*LOG10('List of stations'!Z19))/1000</f>
        <v>#NUM!</v>
      </c>
      <c r="K20" s="48">
        <f>10^(3*(2.18+0.0024*'List of stations'!AA19)/-1.26+3*LOG10('List of stations'!F19)-3/-1.26*LOG10('List of stations'!K19)/1000)</f>
        <v>9225103.8778043073</v>
      </c>
      <c r="L20" s="52">
        <f>10^(3*(2.58+0.0018*'List of stations'!AA19)/-1.35+3*LOG10('List of stations'!F19)-3/-1.35*LOG10('List of stations'!M19))/1000</f>
        <v>19.707222115655483</v>
      </c>
      <c r="M20" s="52" t="e">
        <f>10^(3*(5.98+0.001*'List of stations'!AA19)/-1.99+3*LOG10('List of stations'!F19)-3/-1.99*LOG10('List of stations'!Y19))/1000</f>
        <v>#NUM!</v>
      </c>
      <c r="N20" s="52" t="e">
        <f>10^(3*(4.53+0.0023*'List of stations'!AA19)/-1.62+3*LOG10('List of stations'!F19)-3/-1.62*LOG10('List of stations'!Z19))/1000</f>
        <v>#NUM!</v>
      </c>
      <c r="O20" s="52">
        <f>2*10^(3.34*LOG10('List of stations'!O19)-2.58)</f>
        <v>223.33405404807448</v>
      </c>
      <c r="P20" s="52">
        <f>2*10^(3.34*LOG10('List of stations'!AJ19)-2.58)</f>
        <v>223.33405404807448</v>
      </c>
      <c r="Q20" s="52">
        <f>2*10^(4.14*LOG10('List of stations'!O19)-3.61)</f>
        <v>267.57157089195647</v>
      </c>
      <c r="R20" s="52">
        <f>10^(2*LOG10('List of stations'!K19)+2.94*LOG10('List of stations'!F19/111.1949266)-1.84)</f>
        <v>56.200417084909468</v>
      </c>
      <c r="S20" s="52">
        <f>10^(2*LOG10('List of stations'!K19)+3.52*LOG10('List of stations'!F19)-10.62)</f>
        <v>21.667766862619935</v>
      </c>
      <c r="T20" s="52">
        <f>10^(1.55*LOG10('List of stations'!K19^(-0.018*'List of stations'!AA19))+2*LOG10('List of stations'!F19)-8.45)</f>
        <v>0.45233981367749765</v>
      </c>
      <c r="U20" s="52">
        <f>10^(1.47*LOG10('List of stations'!K19^(-0.018*'List of stations'!AA19))+2*LOG10('List of stations'!F19)-4.96)</f>
        <v>1397.8636601516182</v>
      </c>
      <c r="V20" s="48"/>
      <c r="W20" s="48"/>
      <c r="X20" s="48"/>
      <c r="Y20" s="55">
        <f>10^(3.75*LOG10('List of stations'!AJ19)+0.5)/1000</f>
        <v>496.61922288412507</v>
      </c>
      <c r="Z20" s="55">
        <f>0.0457088*10^(2.46*EXP(LOG10('List of stations'!AJ19)/1.06))/1000</f>
        <v>56425.326258179921</v>
      </c>
      <c r="AA20" s="55">
        <f>0.000354813*(10^(7.31*(LOG10(('List of stations'!AJ19)^0.4))/1000))</f>
        <v>3.5813852144525127E-4</v>
      </c>
      <c r="AB20" s="55">
        <f>10^(3.75*LOG10('List of stations'!O19)+0.5)/1000</f>
        <v>496.61922288412507</v>
      </c>
      <c r="AC20" s="55">
        <f>0.0457088*10^(2.46*EXP(LOG10('List of stations'!O19)/1.06))/1000</f>
        <v>56425.326258179921</v>
      </c>
      <c r="AD20" s="55">
        <f>0.000354813*(10^(7.31*(LOG10(('List of stations'!O19)^0.4))/1000))</f>
        <v>3.5813852144525127E-4</v>
      </c>
      <c r="AE20" s="55">
        <f t="shared" ref="AE20" si="6">630.957*(AB19*1000)^0.33</f>
        <v>27417.966368401969</v>
      </c>
      <c r="AF20" s="55">
        <f>'List of stations'!F19-'Energy Estimate'!AE19</f>
        <v>-33151.263734710992</v>
      </c>
      <c r="AG20" s="48">
        <f>1.09+13.4*EXP(-'List of stations'!F19/('Energy Estimate'!AB19*1000)^0.5/114)</f>
        <v>10.756828138601387</v>
      </c>
      <c r="AH20" s="48">
        <f>'List of stations'!AI19-'Energy Estimate'!AG19</f>
        <v>-11.850037404560682</v>
      </c>
      <c r="AI20" s="48">
        <f>0.31+4.25*EXP(-'List of stations'!F19/('Energy Estimate'!AB19*1000)^0.5/60.1)</f>
        <v>2.5975877407868331</v>
      </c>
      <c r="AJ20" s="48">
        <f>'List of stations'!AH19-'Energy Estimate'!AI19</f>
        <v>-3.1326850947845419</v>
      </c>
      <c r="AK20" s="48">
        <f>10^((LOG10('List of stations'!K19)-4.38+1.06*LOG10('List of stations'!F19*1000)-0.0068*'List of stations'!AA19)/0.44)/1000</f>
        <v>25.784035508565697</v>
      </c>
      <c r="AL20" s="48">
        <f>10^((LOG10('List of stations'!M19)-4.71+1.08*LOG10('List of stations'!F19*1000)-0.0068*'List of stations'!AA19)/0.42)/1000</f>
        <v>43.542517602526253</v>
      </c>
    </row>
    <row r="21" spans="1:38" x14ac:dyDescent="0.2">
      <c r="C21" s="50"/>
      <c r="D21" s="50"/>
      <c r="E21" s="50"/>
      <c r="F21" s="51"/>
      <c r="G21" s="50"/>
      <c r="H21" s="50"/>
      <c r="I21" s="50"/>
      <c r="J21" s="50"/>
      <c r="K21" s="48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48"/>
      <c r="W21" s="48"/>
      <c r="X21" s="48"/>
      <c r="Y21" s="55"/>
      <c r="Z21" s="55"/>
      <c r="AA21" s="55"/>
      <c r="AB21" s="55"/>
      <c r="AC21" s="55"/>
      <c r="AD21" s="55"/>
      <c r="AE21" s="55"/>
      <c r="AF21" s="55"/>
      <c r="AG21" s="48"/>
      <c r="AH21" s="48"/>
      <c r="AI21" s="48"/>
      <c r="AJ21" s="48"/>
      <c r="AK21" s="48"/>
      <c r="AL21" s="48"/>
    </row>
    <row r="22" spans="1:38" x14ac:dyDescent="0.2">
      <c r="C22" s="50"/>
      <c r="D22" s="50"/>
      <c r="E22" s="50"/>
      <c r="F22" s="51"/>
      <c r="G22" s="50"/>
      <c r="H22" s="50"/>
      <c r="I22" s="50"/>
      <c r="J22" s="50"/>
      <c r="K22" s="48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48"/>
      <c r="W22" s="48"/>
      <c r="X22" s="48"/>
      <c r="Y22" s="55"/>
      <c r="Z22" s="55"/>
      <c r="AA22" s="55"/>
      <c r="AB22" s="55"/>
      <c r="AC22" s="55"/>
      <c r="AD22" s="55"/>
      <c r="AE22" s="55"/>
      <c r="AF22" s="55"/>
      <c r="AG22" s="48"/>
      <c r="AH22" s="48"/>
      <c r="AI22" s="48"/>
      <c r="AJ22" s="48"/>
      <c r="AK22" s="48"/>
      <c r="AL22" s="48"/>
    </row>
    <row r="23" spans="1:38" x14ac:dyDescent="0.2">
      <c r="C23" s="50"/>
      <c r="D23" s="50"/>
      <c r="E23" s="50"/>
      <c r="F23" s="51"/>
      <c r="G23" s="50"/>
      <c r="H23" s="50"/>
      <c r="I23" s="50"/>
      <c r="J23" s="50"/>
      <c r="K23" s="48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48"/>
      <c r="W23" s="48"/>
      <c r="X23" s="48"/>
      <c r="Y23" s="55"/>
      <c r="Z23" s="55"/>
      <c r="AA23" s="55"/>
      <c r="AB23" s="55"/>
      <c r="AC23" s="55"/>
      <c r="AD23" s="55"/>
      <c r="AE23" s="55"/>
      <c r="AF23" s="55"/>
      <c r="AG23" s="48"/>
      <c r="AH23" s="48"/>
      <c r="AI23" s="48"/>
      <c r="AJ23" s="48"/>
      <c r="AK23" s="48"/>
      <c r="AL23" s="48"/>
    </row>
    <row r="24" spans="1:38" x14ac:dyDescent="0.2">
      <c r="C24" s="50"/>
      <c r="D24" s="50"/>
      <c r="E24" s="50"/>
      <c r="F24" s="51"/>
      <c r="G24" s="50"/>
      <c r="H24" s="50"/>
      <c r="I24" s="50"/>
      <c r="J24" s="50"/>
      <c r="K24" s="48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48"/>
      <c r="W24" s="48"/>
      <c r="X24" s="48"/>
      <c r="Y24" s="55"/>
      <c r="Z24" s="55"/>
      <c r="AA24" s="55"/>
      <c r="AB24" s="55"/>
      <c r="AC24" s="55"/>
      <c r="AD24" s="55"/>
      <c r="AE24" s="55"/>
      <c r="AF24" s="55"/>
      <c r="AG24" s="48"/>
      <c r="AH24" s="48"/>
      <c r="AI24" s="48"/>
      <c r="AJ24" s="48"/>
      <c r="AK24" s="48"/>
      <c r="AL24" s="48"/>
    </row>
    <row r="25" spans="1:38" x14ac:dyDescent="0.2">
      <c r="C25" s="50"/>
      <c r="D25" s="50"/>
      <c r="E25" s="50"/>
      <c r="F25" s="51"/>
      <c r="G25" s="50"/>
      <c r="H25" s="50"/>
      <c r="I25" s="50"/>
      <c r="J25" s="50"/>
      <c r="K25" s="48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48"/>
      <c r="W25" s="48"/>
      <c r="X25" s="48"/>
      <c r="Y25" s="55"/>
      <c r="Z25" s="55"/>
      <c r="AA25" s="55"/>
      <c r="AB25" s="55"/>
      <c r="AC25" s="55"/>
      <c r="AD25" s="55"/>
      <c r="AE25" s="55"/>
      <c r="AF25" s="55"/>
      <c r="AG25" s="48"/>
      <c r="AH25" s="48"/>
      <c r="AI25" s="48"/>
      <c r="AJ25" s="48"/>
      <c r="AK25" s="48"/>
      <c r="AL25" s="48"/>
    </row>
    <row r="26" spans="1:38" x14ac:dyDescent="0.2">
      <c r="C26" s="50"/>
      <c r="D26" s="50"/>
      <c r="E26" s="50"/>
      <c r="F26" s="51"/>
      <c r="G26" s="50"/>
      <c r="H26" s="50"/>
      <c r="I26" s="50"/>
      <c r="J26" s="50"/>
      <c r="K26" s="48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48"/>
      <c r="W26" s="48"/>
      <c r="X26" s="48"/>
      <c r="Y26" s="55"/>
      <c r="Z26" s="55"/>
      <c r="AA26" s="55"/>
      <c r="AB26" s="55"/>
      <c r="AC26" s="55"/>
      <c r="AD26" s="55"/>
      <c r="AE26" s="55"/>
      <c r="AF26" s="55"/>
      <c r="AG26" s="48"/>
      <c r="AH26" s="48"/>
      <c r="AI26" s="48"/>
      <c r="AJ26" s="48"/>
      <c r="AK26" s="48"/>
      <c r="AL26" s="48"/>
    </row>
    <row r="28" spans="1:38" x14ac:dyDescent="0.2">
      <c r="A28" s="18"/>
      <c r="C28" s="14"/>
      <c r="D28" s="14"/>
      <c r="E28" s="14"/>
      <c r="F28" s="14"/>
      <c r="G28" s="14"/>
      <c r="H28" s="14"/>
      <c r="I28" s="14"/>
      <c r="J28" s="14"/>
      <c r="K28" s="70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74"/>
      <c r="AB28" s="14"/>
      <c r="AC28" s="14"/>
      <c r="AD28" s="74"/>
      <c r="AE28" s="14"/>
      <c r="AF28" s="14"/>
      <c r="AG28" s="14"/>
      <c r="AH28" s="14"/>
      <c r="AI28" s="14"/>
      <c r="AJ28" s="14"/>
      <c r="AK28" s="14"/>
      <c r="AL28" s="14"/>
    </row>
    <row r="29" spans="1:38" s="14" customFormat="1" x14ac:dyDescent="0.2">
      <c r="B29" s="13" t="s">
        <v>115</v>
      </c>
      <c r="C29" s="14">
        <f>AVERAGE(C6:C20)</f>
        <v>312.03852065670787</v>
      </c>
      <c r="D29" s="14">
        <f t="shared" ref="D29:AL29" si="7">AVERAGE(D6:D20)</f>
        <v>368.19447186630561</v>
      </c>
      <c r="E29" s="14" t="e">
        <f t="shared" si="7"/>
        <v>#NUM!</v>
      </c>
      <c r="F29" s="14" t="e">
        <f t="shared" si="7"/>
        <v>#NUM!</v>
      </c>
      <c r="G29" s="14">
        <f t="shared" si="7"/>
        <v>275.36821983974204</v>
      </c>
      <c r="H29" s="14">
        <f t="shared" si="7"/>
        <v>355.20920209264591</v>
      </c>
      <c r="I29" s="14" t="e">
        <f t="shared" si="7"/>
        <v>#NUM!</v>
      </c>
      <c r="J29" s="14" t="e">
        <f t="shared" si="7"/>
        <v>#NUM!</v>
      </c>
      <c r="K29" s="14">
        <f t="shared" si="7"/>
        <v>4312255.7085558353</v>
      </c>
      <c r="L29" s="14">
        <f t="shared" si="7"/>
        <v>505.37169238984308</v>
      </c>
      <c r="M29" s="14" t="e">
        <f t="shared" si="7"/>
        <v>#NUM!</v>
      </c>
      <c r="N29" s="14" t="e">
        <f t="shared" si="7"/>
        <v>#NUM!</v>
      </c>
      <c r="O29" s="14">
        <f t="shared" si="7"/>
        <v>86.011486947259982</v>
      </c>
      <c r="P29" s="14">
        <f t="shared" si="7"/>
        <v>86.011486947259982</v>
      </c>
      <c r="Q29" s="14">
        <f t="shared" si="7"/>
        <v>88.316337977815593</v>
      </c>
      <c r="R29" s="14">
        <f t="shared" si="7"/>
        <v>681.48710907282816</v>
      </c>
      <c r="S29" s="14">
        <f t="shared" si="7"/>
        <v>195.04289951985453</v>
      </c>
      <c r="T29" s="14">
        <f t="shared" si="7"/>
        <v>0.22675323932884275</v>
      </c>
      <c r="U29" s="14">
        <f t="shared" si="7"/>
        <v>700.73449980558337</v>
      </c>
      <c r="V29" s="14" t="e">
        <f t="shared" si="7"/>
        <v>#DIV/0!</v>
      </c>
      <c r="W29" s="14" t="e">
        <f t="shared" si="7"/>
        <v>#DIV/0!</v>
      </c>
      <c r="X29" s="14" t="e">
        <f t="shared" si="7"/>
        <v>#DIV/0!</v>
      </c>
      <c r="Y29" s="14">
        <f t="shared" si="7"/>
        <v>176.24801542492261</v>
      </c>
      <c r="Z29" s="14">
        <f t="shared" si="7"/>
        <v>10839.359945185328</v>
      </c>
      <c r="AA29" s="14">
        <f t="shared" si="7"/>
        <v>3.5773854418162459E-4</v>
      </c>
      <c r="AB29" s="14">
        <f t="shared" si="7"/>
        <v>176.24801542492261</v>
      </c>
      <c r="AC29" s="14">
        <f t="shared" si="7"/>
        <v>10839.359945185328</v>
      </c>
      <c r="AD29" s="14">
        <f t="shared" si="7"/>
        <v>3.5773854418162459E-4</v>
      </c>
      <c r="AE29" s="14">
        <f t="shared" si="7"/>
        <v>27229.013274330802</v>
      </c>
      <c r="AF29" s="14">
        <f t="shared" si="7"/>
        <v>-18618.337308763457</v>
      </c>
      <c r="AG29" s="14" t="e">
        <f t="shared" si="7"/>
        <v>#DIV/0!</v>
      </c>
      <c r="AH29" s="14" t="e">
        <f t="shared" si="7"/>
        <v>#DIV/0!</v>
      </c>
      <c r="AI29" s="14" t="e">
        <f t="shared" si="7"/>
        <v>#DIV/0!</v>
      </c>
      <c r="AJ29" s="14" t="e">
        <f t="shared" si="7"/>
        <v>#DIV/0!</v>
      </c>
      <c r="AK29" s="14">
        <f t="shared" si="7"/>
        <v>1053.201994852546</v>
      </c>
      <c r="AL29" s="14">
        <f t="shared" si="7"/>
        <v>2595.0509133052792</v>
      </c>
    </row>
    <row r="30" spans="1:38" x14ac:dyDescent="0.2">
      <c r="B30" s="71" t="s">
        <v>101</v>
      </c>
    </row>
    <row r="31" spans="1:38" x14ac:dyDescent="0.2">
      <c r="B31" s="3" t="s">
        <v>116</v>
      </c>
    </row>
    <row r="32" spans="1:38" x14ac:dyDescent="0.2">
      <c r="V32" s="3" t="s">
        <v>137</v>
      </c>
    </row>
    <row r="33" spans="2:22" x14ac:dyDescent="0.2">
      <c r="P33" s="52">
        <f>2*10^(3.34*LOG10('List of stations'!$O$24)-2.58)</f>
        <v>58.924061997408742</v>
      </c>
      <c r="V33" s="52">
        <f>2*10^(2.99*LOG10('List of stations'!$O$24)-2.03)</f>
        <v>78.698914842170709</v>
      </c>
    </row>
    <row r="34" spans="2:22" x14ac:dyDescent="0.2">
      <c r="B34" t="s">
        <v>117</v>
      </c>
      <c r="V34" s="52">
        <f>2*10^(2.99*LOG10('List of stations'!$O$24+1.2)-2.03)</f>
        <v>97.314474750135346</v>
      </c>
    </row>
    <row r="35" spans="2:22" x14ac:dyDescent="0.2">
      <c r="V35" s="52">
        <f>2*10^(2.99*LOG10('List of stations'!$O$24-1.2)-2.03)</f>
        <v>62.619332263834629</v>
      </c>
    </row>
  </sheetData>
  <mergeCells count="7">
    <mergeCell ref="V1:AD2"/>
    <mergeCell ref="AG1:AJ2"/>
    <mergeCell ref="AE1:AE2"/>
    <mergeCell ref="C1:F2"/>
    <mergeCell ref="G1:J2"/>
    <mergeCell ref="K1:N2"/>
    <mergeCell ref="O1:Q2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/>
  </sheetViews>
  <sheetFormatPr defaultRowHeight="12.75" x14ac:dyDescent="0.2"/>
  <cols>
    <col min="1" max="1" width="26.85546875" customWidth="1"/>
    <col min="2" max="2" width="11" customWidth="1"/>
    <col min="3" max="3" width="5" customWidth="1"/>
    <col min="4" max="6" width="9.140625" style="4"/>
    <col min="7" max="7" width="9.5703125" style="6" bestFit="1" customWidth="1"/>
    <col min="8" max="8" width="9.140625" style="4"/>
    <col min="9" max="9" width="9.140625" style="6"/>
    <col min="10" max="11" width="9.140625" style="4"/>
    <col min="12" max="12" width="2.5703125" customWidth="1"/>
  </cols>
  <sheetData>
    <row r="1" spans="1:14" ht="51" x14ac:dyDescent="0.2">
      <c r="A1" s="15" t="s">
        <v>0</v>
      </c>
      <c r="B1" s="15" t="s">
        <v>1</v>
      </c>
      <c r="C1" s="15" t="s">
        <v>5</v>
      </c>
      <c r="D1" s="16" t="s">
        <v>10</v>
      </c>
      <c r="E1" s="17" t="s">
        <v>11</v>
      </c>
      <c r="F1" s="17" t="s">
        <v>3</v>
      </c>
      <c r="G1" s="17" t="s">
        <v>12</v>
      </c>
      <c r="H1" s="17" t="s">
        <v>13</v>
      </c>
      <c r="I1" s="17" t="s">
        <v>2</v>
      </c>
      <c r="J1" s="17" t="s">
        <v>7</v>
      </c>
      <c r="K1" s="17" t="s">
        <v>6</v>
      </c>
      <c r="L1" s="11"/>
      <c r="M1" s="8" t="s">
        <v>8</v>
      </c>
      <c r="N1" s="8" t="s">
        <v>9</v>
      </c>
    </row>
    <row r="2" spans="1:14" x14ac:dyDescent="0.2">
      <c r="A2" s="10"/>
      <c r="C2" t="s">
        <v>4</v>
      </c>
      <c r="D2" s="4">
        <v>2252</v>
      </c>
      <c r="E2" s="4">
        <f>(D2/6368)*180/PI()</f>
        <v>20.262263734840044</v>
      </c>
      <c r="G2" s="9">
        <v>0.1231</v>
      </c>
      <c r="H2" s="4">
        <v>1.38E-2</v>
      </c>
      <c r="I2" s="6">
        <v>3.8367</v>
      </c>
      <c r="J2" s="4">
        <v>0.91090000000000004</v>
      </c>
      <c r="K2" s="5">
        <f>1/I2</f>
        <v>0.26064065472932468</v>
      </c>
    </row>
    <row r="5" spans="1:14" x14ac:dyDescent="0.2">
      <c r="A5" s="2" t="s">
        <v>14</v>
      </c>
      <c r="B5" s="7" t="s">
        <v>27</v>
      </c>
    </row>
    <row r="6" spans="1:14" x14ac:dyDescent="0.2">
      <c r="A6" s="3" t="s">
        <v>15</v>
      </c>
      <c r="B6" s="1">
        <f>0.001*(10^(-5.7931))*(D2^3)*(G2^(3/1.74))</f>
        <v>0.49668902082854033</v>
      </c>
      <c r="C6" s="13" t="s">
        <v>24</v>
      </c>
    </row>
    <row r="7" spans="1:14" x14ac:dyDescent="0.2">
      <c r="A7" s="3" t="s">
        <v>17</v>
      </c>
      <c r="B7" s="1">
        <f>0.001*(10^(-5.73333))*(D2^3)*(G2^(3/1.35))</f>
        <v>0.20078274494602971</v>
      </c>
    </row>
    <row r="8" spans="1:14" x14ac:dyDescent="0.2">
      <c r="A8" s="3" t="s">
        <v>16</v>
      </c>
      <c r="B8" s="1"/>
    </row>
    <row r="9" spans="1:14" x14ac:dyDescent="0.2">
      <c r="A9" s="3" t="s">
        <v>18</v>
      </c>
    </row>
    <row r="10" spans="1:14" x14ac:dyDescent="0.2">
      <c r="A10" s="3"/>
    </row>
    <row r="11" spans="1:14" x14ac:dyDescent="0.2">
      <c r="A11" s="2" t="s">
        <v>19</v>
      </c>
    </row>
    <row r="12" spans="1:14" x14ac:dyDescent="0.2">
      <c r="A12" s="3" t="s">
        <v>25</v>
      </c>
      <c r="B12" s="1">
        <f>(2*10^(-3.61))*(I2^4.14)</f>
        <v>0.12841491300779692</v>
      </c>
    </row>
    <row r="13" spans="1:14" x14ac:dyDescent="0.2">
      <c r="A13" s="3" t="s">
        <v>26</v>
      </c>
      <c r="B13" s="1">
        <f>(2*10^(-2.58))*(I2^3.34)</f>
        <v>0.46929852392025695</v>
      </c>
    </row>
    <row r="14" spans="1:14" x14ac:dyDescent="0.2">
      <c r="A14" s="3" t="s">
        <v>20</v>
      </c>
      <c r="B14" s="1">
        <f>(10^(-1.84))*((G2/2)^2)*(E2^2.94)</f>
        <v>0.38029334745411475</v>
      </c>
    </row>
    <row r="16" spans="1:14" x14ac:dyDescent="0.2">
      <c r="A16" s="3" t="s">
        <v>21</v>
      </c>
      <c r="B16" s="1">
        <f>(10^(-10.62))*(D2^3.52)*((G2/2)^2)</f>
        <v>5.7477362858836673E-2</v>
      </c>
    </row>
    <row r="18" spans="1:2" x14ac:dyDescent="0.2">
      <c r="A18" s="3" t="s">
        <v>22</v>
      </c>
      <c r="B18" s="14">
        <f>(10^(-8.45))*(D2^2)*((10^(-0.018*Y2))^1.55)*(G2^1.55)</f>
        <v>6.9990122623362543E-4</v>
      </c>
    </row>
    <row r="20" spans="1:2" x14ac:dyDescent="0.2">
      <c r="A20" s="3" t="s">
        <v>23</v>
      </c>
      <c r="B20" s="1">
        <f>(10^(-4.96))*(D2^2)*((10^(-0.018*Y2))^1.47)*(G2^1.47)</f>
        <v>2.5575027547133984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1" sqref="A11"/>
    </sheetView>
  </sheetViews>
  <sheetFormatPr defaultRowHeight="12.75" x14ac:dyDescent="0.2"/>
  <sheetData>
    <row r="1" spans="1:1" ht="13.5" thickBot="1" x14ac:dyDescent="0.25">
      <c r="A1" s="85">
        <v>23</v>
      </c>
    </row>
    <row r="2" spans="1:1" ht="13.5" thickBot="1" x14ac:dyDescent="0.25">
      <c r="A2" s="86">
        <v>1646.3</v>
      </c>
    </row>
    <row r="3" spans="1:1" ht="13.5" thickBot="1" x14ac:dyDescent="0.25">
      <c r="A3" s="86">
        <v>70.7</v>
      </c>
    </row>
    <row r="4" spans="1:1" ht="13.5" thickBot="1" x14ac:dyDescent="0.25">
      <c r="A4" s="86">
        <v>212.1</v>
      </c>
    </row>
    <row r="5" spans="1:1" ht="13.5" thickBot="1" x14ac:dyDescent="0.25">
      <c r="A5" s="86">
        <v>14.4</v>
      </c>
    </row>
    <row r="6" spans="1:1" ht="13.5" thickBot="1" x14ac:dyDescent="0.25">
      <c r="A6" s="86">
        <v>1669.1</v>
      </c>
    </row>
    <row r="7" spans="1:1" ht="13.5" thickBot="1" x14ac:dyDescent="0.25">
      <c r="A7" s="86">
        <v>85.6</v>
      </c>
    </row>
    <row r="8" spans="1:1" ht="13.5" thickBot="1" x14ac:dyDescent="0.25">
      <c r="A8" s="86">
        <v>124.9</v>
      </c>
    </row>
    <row r="9" spans="1:1" ht="13.5" thickBot="1" x14ac:dyDescent="0.25">
      <c r="A9" s="86"/>
    </row>
    <row r="10" spans="1:1" ht="13.5" thickBot="1" x14ac:dyDescent="0.25">
      <c r="A10" s="86">
        <v>1197.4000000000001</v>
      </c>
    </row>
    <row r="11" spans="1:1" ht="13.5" thickBot="1" x14ac:dyDescent="0.25">
      <c r="A11" s="86"/>
    </row>
    <row r="12" spans="1:1" ht="13.5" thickBot="1" x14ac:dyDescent="0.25">
      <c r="A12" s="86">
        <v>2289.8000000000002</v>
      </c>
    </row>
    <row r="13" spans="1:1" ht="13.5" thickBot="1" x14ac:dyDescent="0.25">
      <c r="A13" s="86">
        <v>7192.8</v>
      </c>
    </row>
    <row r="14" spans="1:1" ht="13.5" thickBot="1" x14ac:dyDescent="0.25">
      <c r="A14" s="86">
        <v>4896.2</v>
      </c>
    </row>
    <row r="15" spans="1:1" ht="13.5" thickBot="1" x14ac:dyDescent="0.25">
      <c r="A15" s="86">
        <v>184.1</v>
      </c>
    </row>
    <row r="16" spans="1:1" ht="13.5" thickBot="1" x14ac:dyDescent="0.25">
      <c r="A16" s="87"/>
    </row>
    <row r="17" spans="1:1" ht="13.5" thickBot="1" x14ac:dyDescent="0.25">
      <c r="A17" s="86"/>
    </row>
    <row r="19" spans="1:1" x14ac:dyDescent="0.2">
      <c r="A19">
        <f>AVERAGE(A1:A17)</f>
        <v>1508.1846153846152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of stations</vt:lpstr>
      <vt:lpstr>Energy Estimate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Estimate</dc:title>
  <dc:creator>Silber</dc:creator>
  <cp:lastModifiedBy>Peter Brown</cp:lastModifiedBy>
  <cp:lastPrinted>2012-03-29T15:52:39Z</cp:lastPrinted>
  <dcterms:created xsi:type="dcterms:W3CDTF">2006-08-28T15:20:02Z</dcterms:created>
  <dcterms:modified xsi:type="dcterms:W3CDTF">2019-07-31T21:05:54Z</dcterms:modified>
</cp:coreProperties>
</file>