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<sst xmlns="http://schemas.openxmlformats.org/spreadsheetml/2006/main" count="112" uniqueCount="96">
  <si>
    <t xml:space="preserve">Event</t>
  </si>
  <si>
    <t xml:space="preserve">Radiant Azimuth</t>
  </si>
  <si>
    <t xml:space="preserve">Radiant Zenith Angle</t>
  </si>
  <si>
    <t xml:space="preserve">RA_App</t>
  </si>
  <si>
    <t xml:space="preserve">Dec_app</t>
  </si>
  <si>
    <t xml:space="preserve">x</t>
  </si>
  <si>
    <t xml:space="preserve">y</t>
  </si>
  <si>
    <t xml:space="preserve">z</t>
  </si>
  <si>
    <t xml:space="preserve">dot</t>
  </si>
  <si>
    <t xml:space="preserve">Radiant Diff</t>
  </si>
  <si>
    <t xml:space="preserve">Delta_Rad</t>
  </si>
  <si>
    <t xml:space="preserve">a</t>
  </si>
  <si>
    <t xml:space="preserve">e</t>
  </si>
  <si>
    <t xml:space="preserve">inc</t>
  </si>
  <si>
    <t xml:space="preserve">W</t>
  </si>
  <si>
    <t xml:space="preserve">w</t>
  </si>
  <si>
    <t xml:space="preserve">q</t>
  </si>
  <si>
    <t xml:space="preserve">Q</t>
  </si>
  <si>
    <t xml:space="preserve">Tj</t>
  </si>
  <si>
    <t xml:space="preserve">En</t>
  </si>
  <si>
    <t xml:space="preserve">Mass</t>
  </si>
  <si>
    <t xml:space="preserve">D</t>
  </si>
  <si>
    <t xml:space="preserve">Speed</t>
  </si>
  <si>
    <r>
      <rPr>
        <b val="true"/>
        <sz val="11"/>
        <color rgb="FFFFFFFF"/>
        <rFont val="Symbol"/>
        <family val="1"/>
        <charset val="2"/>
      </rPr>
      <t xml:space="preserve">D</t>
    </r>
    <r>
      <rPr>
        <b val="true"/>
        <sz val="11"/>
        <color rgb="FFFFFFFF"/>
        <rFont val="Calibri"/>
        <family val="2"/>
        <charset val="1"/>
      </rPr>
      <t xml:space="preserve">V</t>
    </r>
  </si>
  <si>
    <t xml:space="preserve">Height </t>
  </si>
  <si>
    <t xml:space="preserve">DH</t>
  </si>
  <si>
    <t xml:space="preserve">Fireball</t>
  </si>
  <si>
    <t xml:space="preserve">Meteorite</t>
  </si>
  <si>
    <t xml:space="preserve">Length (km)</t>
  </si>
  <si>
    <t xml:space="preserve">Begin Height (km)</t>
  </si>
  <si>
    <t xml:space="preserve">End Height (km)</t>
  </si>
  <si>
    <t xml:space="preserve">Ref</t>
  </si>
  <si>
    <t xml:space="preserve">Delta Az</t>
  </si>
  <si>
    <t xml:space="preserve">Delta Z</t>
  </si>
  <si>
    <t xml:space="preserve">Type</t>
  </si>
  <si>
    <t xml:space="preserve">Units</t>
  </si>
  <si>
    <t xml:space="preserve">degs</t>
  </si>
  <si>
    <t xml:space="preserve">rtd=</t>
  </si>
  <si>
    <t xml:space="preserve">(AU)</t>
  </si>
  <si>
    <t xml:space="preserve">(kT)</t>
  </si>
  <si>
    <t xml:space="preserve">(kg)</t>
  </si>
  <si>
    <t xml:space="preserve">(m)</t>
  </si>
  <si>
    <t xml:space="preserve">(km/s)</t>
  </si>
  <si>
    <t xml:space="preserve">(km)</t>
  </si>
  <si>
    <t xml:space="preserve">(PE)</t>
  </si>
  <si>
    <t xml:space="preserve">Almahata Sitta </t>
  </si>
  <si>
    <t xml:space="preserve">IIIa</t>
  </si>
  <si>
    <t xml:space="preserve">Euc/Mx</t>
  </si>
  <si>
    <t xml:space="preserve">Jen et al (2009)</t>
  </si>
  <si>
    <t xml:space="preserve">Buzzard Coulee </t>
  </si>
  <si>
    <t xml:space="preserve">I</t>
  </si>
  <si>
    <t xml:space="preserve">H4</t>
  </si>
  <si>
    <t xml:space="preserve">Milley et al (2010)</t>
  </si>
  <si>
    <t xml:space="preserve">Chelyabinsk </t>
  </si>
  <si>
    <t xml:space="preserve">II</t>
  </si>
  <si>
    <t xml:space="preserve">LL5</t>
  </si>
  <si>
    <t xml:space="preserve">Borovicka et al (2013)</t>
  </si>
  <si>
    <t xml:space="preserve">Kosice </t>
  </si>
  <si>
    <t xml:space="preserve">H5</t>
  </si>
  <si>
    <t xml:space="preserve">Borovicka et al. 2013. The Kosice meteorite fall: Atmospheric trajectory, fragmentation, and orbit, Meteoritics and Planetary Science, 48, 1757-1779.</t>
  </si>
  <si>
    <t xml:space="preserve">check begin height w/ lightcurve analysis</t>
  </si>
  <si>
    <t xml:space="preserve">Motopi Pan </t>
  </si>
  <si>
    <t xml:space="preserve">How</t>
  </si>
  <si>
    <r>
      <rPr>
        <sz val="11"/>
        <color rgb="FF000000"/>
        <rFont val="Calibri"/>
        <family val="2"/>
        <charset val="1"/>
      </rPr>
      <t xml:space="preserve">Jenniskens P. et al. 2021. The impact and recovery of asteroid 2018 LA.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56:844–893. https://onlinelibrary.wiley.com/doi/10.1111/maps.13653.</t>
    </r>
  </si>
  <si>
    <t xml:space="preserve">Crawford Bay</t>
  </si>
  <si>
    <t xml:space="preserve">Hildebrand et al (2018)</t>
  </si>
  <si>
    <t xml:space="preserve">Baird Bay</t>
  </si>
  <si>
    <r>
      <rPr>
        <sz val="11"/>
        <color rgb="FF000000"/>
        <rFont val="Calibri"/>
        <family val="2"/>
        <charset val="1"/>
      </rPr>
      <t xml:space="preserve">Devillepoix H. A. R., Bland P. A., Sansom E. K., Towner M. C., Cupák M., Howie R. M., Hartig B. A. D., Jansen-Sturgeon T., and Cox M. A. 2019. Observation of metre-scale impactors by the Desert Fireball Network. </t>
    </r>
    <r>
      <rPr>
        <i val="true"/>
        <sz val="11"/>
        <color rgb="FF000000"/>
        <rFont val="Calibri"/>
        <family val="2"/>
        <charset val="1"/>
      </rPr>
      <t xml:space="preserve">Monthly Notices of the Royal Astronomical Society</t>
    </r>
    <r>
      <rPr>
        <sz val="11"/>
        <color rgb="FF000000"/>
        <rFont val="Calibri"/>
        <family val="2"/>
        <charset val="1"/>
      </rPr>
      <t xml:space="preserve"> 483:5166–5178. http://arxiv.org/abs/1808.09195.</t>
    </r>
  </si>
  <si>
    <t xml:space="preserve">Kalabity</t>
  </si>
  <si>
    <t xml:space="preserve">Romania</t>
  </si>
  <si>
    <r>
      <rPr>
        <sz val="11"/>
        <color rgb="FF000000"/>
        <rFont val="Calibri"/>
        <family val="2"/>
        <charset val="1"/>
      </rPr>
      <t xml:space="preserve">Borovička J., Spurný P., Grigore V. I., and Svoreň J. 2017. The January 7, 2015, superbolide over Romania and structural diversity of meter-sized asteroids.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143:147–158.</t>
    </r>
  </si>
  <si>
    <t xml:space="preserve">recompute length using lightcurve as well</t>
  </si>
  <si>
    <t xml:space="preserve">Flensburg</t>
  </si>
  <si>
    <t xml:space="preserve">C1-ung</t>
  </si>
  <si>
    <r>
      <rPr>
        <sz val="11"/>
        <color rgb="FF000000"/>
        <rFont val="Calibri"/>
        <family val="2"/>
        <charset val="1"/>
      </rPr>
      <t xml:space="preserve">Borovička J., Bettonvil F., Baumgarten G., Strunk J., Hankey M., Spurný P., and Heinlein D. 2021. Trajectory and orbit of the unique carbonaceous meteorite Flensburg.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56:425–439. https://onlinelibrary.wiley.com/doi/10.1111/maps.13628.</t>
    </r>
  </si>
  <si>
    <t xml:space="preserve">Novo Mesto</t>
  </si>
  <si>
    <t xml:space="preserve">L5</t>
  </si>
  <si>
    <t xml:space="preserve">Vida, D., Šegon, D., Šegon, M., Atanackov, J., Ambrožič, B., McFadden, L., Ferrière, L., Kac, J., Kladnik, G., Živčić, M., Merlak, A., Skokić, I., Pavletić, L., Vinčić, G., Ćiković, I., Perkó, Z., Ilari, M., Malarić, M., and Macuka, I.: Novo Mesto meteorite fall – trajectory, orbit, and fragmentation analysis from optical observations, European Planetary Science Congress 2021, online, 13–24 Sep 2021, EPSC2021-139, https://doi.org/10.5194/epsc2021-139, 2021.</t>
  </si>
  <si>
    <t xml:space="preserve">Sariçiçek</t>
  </si>
  <si>
    <r>
      <rPr>
        <sz val="11"/>
        <color rgb="FF000000"/>
        <rFont val="Calibri"/>
        <family val="2"/>
        <charset val="1"/>
      </rPr>
      <t xml:space="preserve">Unsalan O. et al. 2019. The Sariçiçek howardite fall in Turkey: Source crater of &lt;scp&gt;HED&lt;/scp&gt; meteorites on Vesta and impact risk of Vestoids. </t>
    </r>
    <r>
      <rPr>
        <i val="true"/>
        <sz val="11"/>
        <color rgb="FF000000"/>
        <rFont val="Calibri"/>
        <family val="2"/>
        <charset val="1"/>
      </rPr>
      <t xml:space="preserve">Meteoritics &amp; Planetary Science</t>
    </r>
    <r>
      <rPr>
        <sz val="11"/>
        <color rgb="FF000000"/>
        <rFont val="Calibri"/>
        <family val="2"/>
        <charset val="1"/>
      </rPr>
      <t xml:space="preserve"> 54:953–1008. https://onlinelibrary.wiley.com/doi/abs/10.1111/maps.13258.</t>
    </r>
  </si>
  <si>
    <t xml:space="preserve">Vinales</t>
  </si>
  <si>
    <t xml:space="preserve">L6</t>
  </si>
  <si>
    <r>
      <rPr>
        <sz val="11"/>
        <color rgb="FF000000"/>
        <rFont val="Calibri"/>
        <family val="2"/>
        <charset val="1"/>
      </rPr>
      <t xml:space="preserve">Ceballos Izquierdo Y., Orihuela J., Silva G. G., Zurita M., Mourão D. C., and Delgado Manzor H. 2021. Meteorite and bright fireball records from Cuba. </t>
    </r>
    <r>
      <rPr>
        <i val="true"/>
        <sz val="11"/>
        <color rgb="FF000000"/>
        <rFont val="Calibri"/>
        <family val="2"/>
        <charset val="1"/>
      </rPr>
      <t xml:space="preserve">Mineralia Slovaca</t>
    </r>
    <r>
      <rPr>
        <sz val="11"/>
        <color rgb="FF000000"/>
        <rFont val="Calibri"/>
        <family val="2"/>
        <charset val="1"/>
      </rPr>
      <t xml:space="preserve"> 53:131–145. https://meteorites.asu.edu/collection/specimen-cata-.</t>
    </r>
  </si>
  <si>
    <t xml:space="preserve">Froslunda</t>
  </si>
  <si>
    <t xml:space="preserve">http://norskmeteornettverk.no/meteor/20201107/212700/</t>
  </si>
  <si>
    <t xml:space="preserve">2022 EB5</t>
  </si>
  <si>
    <t xml:space="preserve">https://ssd.jpl.nasa.gov/tools/sbdb_lookup.html#/?sstr=54254967</t>
  </si>
  <si>
    <t xml:space="preserve">nothing</t>
  </si>
  <si>
    <t xml:space="preserve">2019MO</t>
  </si>
  <si>
    <t xml:space="preserve">https://ssd.jpl.nasa.gov/tools/sbdb_lookup.html#/?sstr=3842925&amp;view=OPC</t>
  </si>
  <si>
    <t xml:space="preserve">GLM </t>
  </si>
  <si>
    <t xml:space="preserve">Ozerski</t>
  </si>
  <si>
    <r>
      <rPr>
        <sz val="11"/>
        <color rgb="FF000000"/>
        <rFont val="Calibri"/>
        <family val="2"/>
        <charset val="1"/>
      </rPr>
      <t xml:space="preserve">Kartashova A., Golubaev A., Mozgova A., Chuvashov I., Bolgova G., Glazachev D., and Efremov V. 2020. Investigation of the Ozerki meteoroid parameters. </t>
    </r>
    <r>
      <rPr>
        <i val="true"/>
        <sz val="11"/>
        <color rgb="FF000000"/>
        <rFont val="Calibri"/>
        <family val="2"/>
        <charset val="1"/>
      </rPr>
      <t xml:space="preserve">Planetary and Space Science</t>
    </r>
    <r>
      <rPr>
        <sz val="11"/>
        <color rgb="FF000000"/>
        <rFont val="Calibri"/>
        <family val="2"/>
        <charset val="1"/>
      </rPr>
      <t xml:space="preserve"> 193:105034. https://doi.org/10.1016/j.pss.2020.105034.</t>
    </r>
  </si>
  <si>
    <t xml:space="preserve">lightcurve (same thing as 2019MO)</t>
  </si>
  <si>
    <t xml:space="preserve">USG values</t>
  </si>
  <si>
    <t xml:space="preserve">Ground-based values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</si>
</sst>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FFFFFF"/>
      <name val="Symbol"/>
      <family val="1"/>
      <charset val="2"/>
    </font>
    <font>
      <sz val="11"/>
      <name val="Calibri"/>
      <family val="2"/>
      <charset val="1"/>
    </font>
    <font>
      <b val="true"/>
      <sz val="8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92D050"/>
        <bgColor rgb="FF9DC3E6"/>
      </patternFill>
    </fill>
    <fill>
      <patternFill patternType="solid">
        <fgColor rgb="FF5B9BD5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rgb="FF9DC3E6"/>
        <bgColor rgb="FFB4C7E7"/>
      </patternFill>
    </fill>
    <fill>
      <patternFill patternType="solid">
        <fgColor rgb="FF8FAADC"/>
        <bgColor rgb="FF9DC3E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 style="medium">
        <color rgb="FFFFFFFF"/>
      </right>
      <top/>
      <bottom style="thick"/>
      <diagonal/>
    </border>
    <border diagonalUp="false" diagonalDown="false"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 diagonalUp="false" diagonalDown="false">
      <left style="thick"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thick"/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/>
      <bottom style="medium">
        <color rgb="FFFFFFFF"/>
      </bottom>
      <diagonal/>
    </border>
    <border diagonalUp="false" diagonalDown="false">
      <left style="medium">
        <color rgb="FFFFFFFF"/>
      </left>
      <right style="thick"/>
      <top style="medium">
        <color rgb="FFFFFFFF"/>
      </top>
      <bottom style="medium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0" fillId="2" borderId="6" xfId="21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6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7" fillId="4" borderId="7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8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2" borderId="9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10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5" borderId="9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5" fontId="0" fillId="3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2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12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1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2" borderId="12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3" shrinkToFit="false"/>
      <protection locked="true" hidden="false"/>
    </xf>
    <xf numFmtId="164" fontId="0" fillId="2" borderId="11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6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6" fontId="0" fillId="3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7" fontId="0" fillId="5" borderId="0" xfId="21" applyFont="fals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sd.jpl.nasa.gov/tools/sbdb_lookup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J20" activeCellId="0" sqref="AJ2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3" min="2" style="0" width="11.57"/>
    <col collapsed="false" customWidth="true" hidden="true" outlineLevel="0" max="5" min="4" style="0" width="9.14"/>
    <col collapsed="false" customWidth="true" hidden="true" outlineLevel="0" max="6" min="6" style="0" width="11.57"/>
    <col collapsed="false" customWidth="true" hidden="true" outlineLevel="0" max="7" min="7" style="0" width="12.28"/>
    <col collapsed="false" customWidth="true" hidden="true" outlineLevel="0" max="8" min="8" style="0" width="11.57"/>
    <col collapsed="false" customWidth="true" hidden="true" outlineLevel="0" max="9" min="9" style="0" width="9.14"/>
    <col collapsed="false" customWidth="true" hidden="false" outlineLevel="0" max="10" min="10" style="1" width="9.14"/>
    <col collapsed="false" customWidth="true" hidden="true" outlineLevel="0" max="12" min="11" style="0" width="12.28"/>
    <col collapsed="false" customWidth="true" hidden="true" outlineLevel="0" max="14" min="13" style="0" width="11.57"/>
    <col collapsed="false" customWidth="true" hidden="true" outlineLevel="0" max="25" min="15" style="0" width="9.14"/>
    <col collapsed="false" customWidth="true" hidden="false" outlineLevel="0" max="27" min="27" style="1" width="9.14"/>
    <col collapsed="false" customWidth="true" hidden="false" outlineLevel="0" max="29" min="29" style="1" width="9.14"/>
    <col collapsed="false" customWidth="true" hidden="true" outlineLevel="0" max="30" min="30" style="0" width="9.14"/>
    <col collapsed="false" customWidth="true" hidden="false" outlineLevel="0" max="31" min="31" style="0" width="11.71"/>
  </cols>
  <sheetData>
    <row r="1" customFormat="false" ht="41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/>
      <c r="L1" s="3"/>
      <c r="M1" s="3" t="s">
        <v>10</v>
      </c>
      <c r="N1" s="3"/>
      <c r="O1" s="3" t="s">
        <v>11</v>
      </c>
      <c r="P1" s="3" t="s">
        <v>12</v>
      </c>
      <c r="Q1" s="3" t="s">
        <v>13</v>
      </c>
      <c r="R1" s="5" t="s">
        <v>14</v>
      </c>
      <c r="S1" s="5" t="s">
        <v>15</v>
      </c>
      <c r="T1" s="3" t="s">
        <v>16</v>
      </c>
      <c r="U1" s="3" t="s">
        <v>17</v>
      </c>
      <c r="V1" s="3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7" t="s">
        <v>23</v>
      </c>
      <c r="AB1" s="6" t="s">
        <v>24</v>
      </c>
      <c r="AC1" s="7" t="s">
        <v>25</v>
      </c>
      <c r="AD1" s="6" t="s">
        <v>26</v>
      </c>
      <c r="AE1" s="6" t="s">
        <v>27</v>
      </c>
      <c r="AF1" s="0" t="s">
        <v>28</v>
      </c>
      <c r="AG1" s="0" t="s">
        <v>29</v>
      </c>
      <c r="AH1" s="0" t="s">
        <v>30</v>
      </c>
      <c r="AL1" s="0" t="s">
        <v>31</v>
      </c>
    </row>
    <row r="2" customFormat="false" ht="14.9" hidden="false" customHeight="false" outlineLevel="0" collapsed="false">
      <c r="A2" s="2"/>
      <c r="B2" s="8"/>
      <c r="C2" s="8"/>
      <c r="D2" s="8"/>
      <c r="E2" s="8"/>
      <c r="F2" s="8"/>
      <c r="G2" s="8"/>
      <c r="H2" s="8"/>
      <c r="I2" s="8"/>
      <c r="J2" s="9"/>
      <c r="K2" s="8" t="s">
        <v>32</v>
      </c>
      <c r="L2" s="8" t="s">
        <v>33</v>
      </c>
      <c r="M2" s="8"/>
      <c r="N2" s="8"/>
      <c r="O2" s="3"/>
      <c r="P2" s="3"/>
      <c r="Q2" s="3"/>
      <c r="R2" s="3"/>
      <c r="S2" s="3"/>
      <c r="T2" s="3"/>
      <c r="U2" s="3"/>
      <c r="V2" s="3"/>
      <c r="W2" s="6"/>
      <c r="X2" s="6"/>
      <c r="Y2" s="6"/>
      <c r="Z2" s="6"/>
      <c r="AA2" s="7"/>
      <c r="AB2" s="6"/>
      <c r="AC2" s="7"/>
      <c r="AD2" s="10" t="s">
        <v>34</v>
      </c>
      <c r="AE2" s="10" t="s">
        <v>34</v>
      </c>
    </row>
    <row r="3" customFormat="false" ht="14.9" hidden="false" customHeight="false" outlineLevel="0" collapsed="false">
      <c r="A3" s="11" t="s">
        <v>35</v>
      </c>
      <c r="B3" s="12" t="s">
        <v>36</v>
      </c>
      <c r="C3" s="12" t="s">
        <v>36</v>
      </c>
      <c r="D3" s="12" t="s">
        <v>36</v>
      </c>
      <c r="E3" s="12" t="s">
        <v>36</v>
      </c>
      <c r="F3" s="12"/>
      <c r="G3" s="12"/>
      <c r="H3" s="12"/>
      <c r="I3" s="12"/>
      <c r="J3" s="13" t="s">
        <v>36</v>
      </c>
      <c r="K3" s="12"/>
      <c r="L3" s="12" t="s">
        <v>37</v>
      </c>
      <c r="M3" s="12" t="n">
        <f aca="false">180/3.14159265</f>
        <v>57.2957795785523</v>
      </c>
      <c r="N3" s="12" t="n">
        <f aca="false">1/M3</f>
        <v>0.0174532925</v>
      </c>
      <c r="O3" s="14" t="s">
        <v>38</v>
      </c>
      <c r="P3" s="15"/>
      <c r="Q3" s="14" t="s">
        <v>36</v>
      </c>
      <c r="R3" s="14" t="s">
        <v>36</v>
      </c>
      <c r="S3" s="14" t="s">
        <v>36</v>
      </c>
      <c r="T3" s="14" t="s">
        <v>38</v>
      </c>
      <c r="U3" s="14" t="s">
        <v>38</v>
      </c>
      <c r="V3" s="15"/>
      <c r="W3" s="16" t="s">
        <v>39</v>
      </c>
      <c r="X3" s="16" t="s">
        <v>40</v>
      </c>
      <c r="Y3" s="16" t="s">
        <v>41</v>
      </c>
      <c r="Z3" s="16" t="s">
        <v>42</v>
      </c>
      <c r="AA3" s="17" t="s">
        <v>42</v>
      </c>
      <c r="AB3" s="16" t="s">
        <v>43</v>
      </c>
      <c r="AC3" s="17" t="s">
        <v>43</v>
      </c>
      <c r="AD3" s="16" t="s">
        <v>44</v>
      </c>
      <c r="AE3" s="16"/>
    </row>
    <row r="4" customFormat="false" ht="29.25" hidden="false" customHeight="true" outlineLevel="0" collapsed="false">
      <c r="A4" s="18" t="s">
        <v>45</v>
      </c>
      <c r="B4" s="19" t="n">
        <f aca="false">281.7</f>
        <v>281.7</v>
      </c>
      <c r="C4" s="20" t="n">
        <f aca="false">70</f>
        <v>70</v>
      </c>
      <c r="D4" s="20" t="n">
        <v>326.85</v>
      </c>
      <c r="E4" s="20" t="n">
        <v>-1</v>
      </c>
      <c r="F4" s="20" t="n">
        <f aca="false">SIN(C4*$N$3)*COS(B4*$N$3)</f>
        <v>0.190557719769292</v>
      </c>
      <c r="G4" s="20" t="n">
        <f aca="false">SIN(B4/$M$3)*SIN(C4/$M$3)</f>
        <v>-0.920168449849518</v>
      </c>
      <c r="H4" s="20" t="n">
        <f aca="false">COS(C4*$N$3)</f>
        <v>0.342020144637508</v>
      </c>
      <c r="I4" s="0" t="n">
        <f aca="false">F4*F5+G4*G5+H4*H5</f>
        <v>0.827448501462541</v>
      </c>
      <c r="J4" s="21" t="n">
        <f aca="false">ACOS(I4)*$M$3</f>
        <v>34.162477423301</v>
      </c>
      <c r="K4" s="20"/>
      <c r="L4" s="20"/>
      <c r="M4" s="20"/>
      <c r="N4" s="20"/>
      <c r="O4" s="20" t="n">
        <v>1.31</v>
      </c>
      <c r="P4" s="20" t="n">
        <v>0.31</v>
      </c>
      <c r="Q4" s="20" t="n">
        <v>2.5</v>
      </c>
      <c r="R4" s="20" t="n">
        <v>194.1</v>
      </c>
      <c r="S4" s="20" t="n">
        <v>234.5</v>
      </c>
      <c r="T4" s="20" t="n">
        <v>0.904</v>
      </c>
      <c r="U4" s="20" t="n">
        <v>1.72</v>
      </c>
      <c r="V4" s="20" t="n">
        <v>4.93</v>
      </c>
      <c r="W4" s="20" t="n">
        <v>0.92</v>
      </c>
      <c r="X4" s="22" t="n">
        <v>50000</v>
      </c>
      <c r="Y4" s="20" t="n">
        <v>3.1</v>
      </c>
      <c r="Z4" s="20" t="n">
        <v>12.4</v>
      </c>
      <c r="AA4" s="23"/>
      <c r="AB4" s="20" t="n">
        <v>37</v>
      </c>
      <c r="AC4" s="23"/>
      <c r="AD4" s="20" t="s">
        <v>46</v>
      </c>
      <c r="AE4" s="24" t="s">
        <v>47</v>
      </c>
      <c r="AL4" s="0" t="s">
        <v>48</v>
      </c>
    </row>
    <row r="5" customFormat="false" ht="14.9" hidden="false" customHeight="false" outlineLevel="0" collapsed="false">
      <c r="A5" s="18"/>
      <c r="B5" s="25" t="n">
        <f aca="false">249.5</f>
        <v>249.5</v>
      </c>
      <c r="C5" s="26" t="n">
        <v>83.8</v>
      </c>
      <c r="D5" s="26"/>
      <c r="E5" s="26"/>
      <c r="F5" s="27" t="n">
        <f aca="false">SIN(C5*$N$3)*COS(B5*$N$3)</f>
        <v>-0.348159010239591</v>
      </c>
      <c r="G5" s="27" t="n">
        <f aca="false">SIN(B5/$M$3)*SIN(C5/$M$3)</f>
        <v>-0.931193557965902</v>
      </c>
      <c r="H5" s="27" t="n">
        <f aca="false">COS(C5*$N$3)</f>
        <v>0.107999357367496</v>
      </c>
      <c r="I5" s="26"/>
      <c r="J5" s="28"/>
      <c r="K5" s="26" t="n">
        <f aca="false">(B5-B4)</f>
        <v>-32.2</v>
      </c>
      <c r="L5" s="26" t="n">
        <f aca="false">(C5-C4)</f>
        <v>13.8</v>
      </c>
      <c r="M5" s="26" t="n">
        <f aca="false">2*ASIN(SQRT(SIN(L5/($M$3*2))*SIN(L5/($M$3*2))+COS(C4/$M$3)*COS(C5/$M$3)*SIN(K5/2/$M$3)*SIN(K5/2/$M$3)))*$M$3</f>
        <v>15.1043236684486</v>
      </c>
      <c r="N5" s="26"/>
      <c r="O5" s="26" t="n">
        <v>1.64</v>
      </c>
      <c r="P5" s="26" t="n">
        <v>0.43</v>
      </c>
      <c r="Q5" s="26" t="n">
        <v>3.9</v>
      </c>
      <c r="R5" s="26" t="n">
        <v>14.1</v>
      </c>
      <c r="S5" s="26" t="n">
        <v>36.3</v>
      </c>
      <c r="T5" s="26" t="n">
        <v>0.94</v>
      </c>
      <c r="U5" s="26" t="n">
        <v>2.35</v>
      </c>
      <c r="V5" s="26" t="n">
        <v>4.2</v>
      </c>
      <c r="W5" s="26" t="n">
        <v>1</v>
      </c>
      <c r="X5" s="29" t="n">
        <v>47000</v>
      </c>
      <c r="Y5" s="26" t="n">
        <v>3</v>
      </c>
      <c r="Z5" s="26" t="n">
        <v>13.3</v>
      </c>
      <c r="AA5" s="30" t="n">
        <f aca="false">Z5-Z4</f>
        <v>0.9</v>
      </c>
      <c r="AB5" s="26" t="n">
        <v>38.9</v>
      </c>
      <c r="AC5" s="30" t="n">
        <f aca="false">AB5-AB4</f>
        <v>1.9</v>
      </c>
      <c r="AD5" s="26"/>
      <c r="AE5" s="26"/>
      <c r="AG5" s="0" t="n">
        <v>65</v>
      </c>
      <c r="AH5" s="0" t="n">
        <v>33</v>
      </c>
    </row>
    <row r="6" customFormat="false" ht="14.9" hidden="false" customHeight="true" outlineLevel="0" collapsed="false">
      <c r="A6" s="18" t="s">
        <v>49</v>
      </c>
      <c r="B6" s="19" t="n">
        <v>348.6</v>
      </c>
      <c r="C6" s="20" t="n">
        <v>22.83</v>
      </c>
      <c r="D6" s="20" t="n">
        <v>299.99</v>
      </c>
      <c r="E6" s="20" t="n">
        <v>74.97</v>
      </c>
      <c r="F6" s="20" t="n">
        <f aca="false">SIN(C6*$N$3)*COS(B6*$N$3)</f>
        <v>0.380343469659071</v>
      </c>
      <c r="G6" s="20" t="n">
        <f aca="false">SIN(B6/$M$3)*SIN(C6/$M$3)</f>
        <v>-0.0766906987445029</v>
      </c>
      <c r="H6" s="20" t="n">
        <f aca="false">COS(C6*$N$3)</f>
        <v>0.921660122720832</v>
      </c>
      <c r="I6" s="0" t="n">
        <f aca="false">F6*F7+G6*G7+H6*H7</f>
        <v>0.849012944748836</v>
      </c>
      <c r="J6" s="21" t="n">
        <f aca="false">ACOS(I6)*$M$3</f>
        <v>31.8955264641308</v>
      </c>
      <c r="K6" s="20"/>
      <c r="L6" s="20"/>
      <c r="M6" s="20"/>
      <c r="N6" s="20"/>
      <c r="O6" s="31" t="n">
        <v>1.23</v>
      </c>
      <c r="P6" s="31" t="n">
        <v>0.22</v>
      </c>
      <c r="Q6" s="31" t="n">
        <v>25.5</v>
      </c>
      <c r="R6" s="31" t="n">
        <v>238.9</v>
      </c>
      <c r="S6" s="31" t="n">
        <v>212</v>
      </c>
      <c r="T6" s="31" t="n">
        <v>0.959</v>
      </c>
      <c r="U6" s="31" t="n">
        <v>1.5</v>
      </c>
      <c r="V6" s="31" t="n">
        <v>5.09</v>
      </c>
      <c r="W6" s="31" t="n">
        <v>0.31</v>
      </c>
      <c r="X6" s="32" t="n">
        <v>8000</v>
      </c>
      <c r="Y6" s="31" t="n">
        <v>1.7</v>
      </c>
      <c r="Z6" s="31" t="n">
        <v>18</v>
      </c>
      <c r="AA6" s="33"/>
      <c r="AB6" s="31" t="n">
        <v>31</v>
      </c>
      <c r="AC6" s="33"/>
      <c r="AD6" s="31" t="s">
        <v>50</v>
      </c>
      <c r="AE6" s="31" t="s">
        <v>51</v>
      </c>
      <c r="AL6" s="0" t="s">
        <v>52</v>
      </c>
    </row>
    <row r="7" customFormat="false" ht="14.9" hidden="false" customHeight="false" outlineLevel="0" collapsed="false">
      <c r="A7" s="18"/>
      <c r="B7" s="34" t="n">
        <v>330.6</v>
      </c>
      <c r="C7" s="26" t="n">
        <v>53.04</v>
      </c>
      <c r="D7" s="26"/>
      <c r="E7" s="26"/>
      <c r="F7" s="27" t="n">
        <f aca="false">SIN(C7*$N$3)*COS(B7*$N$3)</f>
        <v>0.696148150801011</v>
      </c>
      <c r="G7" s="27" t="n">
        <f aca="false">SIN(B7/$M$3)*SIN(C7/$M$3)</f>
        <v>-0.392259329692472</v>
      </c>
      <c r="H7" s="27" t="n">
        <f aca="false">COS(C7*$N$3)</f>
        <v>0.601257324616961</v>
      </c>
      <c r="I7" s="26"/>
      <c r="J7" s="28"/>
      <c r="K7" s="26" t="n">
        <f aca="false">(B7-B6)</f>
        <v>-18</v>
      </c>
      <c r="L7" s="26" t="n">
        <f aca="false">(C7-C6)</f>
        <v>30.21</v>
      </c>
      <c r="M7" s="26" t="n">
        <f aca="false">2*ASIN(SQRT(SIN(L7/($M$3*2))^2+COS(C6/$M$3)*COS(C7/$M$3)*SIN(K7/2/$M$3)^2))*$M$3</f>
        <v>33.1685525343523</v>
      </c>
      <c r="N7" s="26"/>
      <c r="O7" s="26" t="n">
        <v>0.79</v>
      </c>
      <c r="P7" s="26" t="n">
        <v>0.26</v>
      </c>
      <c r="Q7" s="26" t="n">
        <v>10.3</v>
      </c>
      <c r="R7" s="26" t="n">
        <v>238.93</v>
      </c>
      <c r="S7" s="26" t="n">
        <v>3.2</v>
      </c>
      <c r="T7" s="26" t="n">
        <v>0.58</v>
      </c>
      <c r="U7" s="26" t="n">
        <v>0.99</v>
      </c>
      <c r="V7" s="26" t="n">
        <v>7.4</v>
      </c>
      <c r="W7" s="26" t="n">
        <v>0.41</v>
      </c>
      <c r="X7" s="29" t="n">
        <v>20600</v>
      </c>
      <c r="Y7" s="26" t="n">
        <v>2.3</v>
      </c>
      <c r="Z7" s="26" t="n">
        <v>12.9</v>
      </c>
      <c r="AA7" s="30" t="n">
        <f aca="false">Z7-Z6</f>
        <v>-5.1</v>
      </c>
      <c r="AB7" s="26" t="n">
        <v>28.2</v>
      </c>
      <c r="AC7" s="30" t="n">
        <f aca="false">AB7-AB6</f>
        <v>-2.8</v>
      </c>
      <c r="AD7" s="26"/>
      <c r="AE7" s="26"/>
      <c r="AF7" s="0" t="n">
        <v>54.3</v>
      </c>
      <c r="AG7" s="0" t="n">
        <v>81</v>
      </c>
      <c r="AH7" s="0" t="n">
        <v>12.7</v>
      </c>
    </row>
    <row r="8" customFormat="false" ht="14.9" hidden="false" customHeight="true" outlineLevel="0" collapsed="false">
      <c r="A8" s="18" t="s">
        <v>53</v>
      </c>
      <c r="B8" s="19" t="n">
        <v>103.5</v>
      </c>
      <c r="C8" s="20" t="n">
        <v>71.45</v>
      </c>
      <c r="D8" s="20"/>
      <c r="E8" s="20"/>
      <c r="F8" s="20" t="n">
        <f aca="false">SIN(C8*$N$3)*COS(B8*$N$3)</f>
        <v>-0.221317033296923</v>
      </c>
      <c r="G8" s="20" t="n">
        <f aca="false">SIN(B8/$M$3)*SIN(C8/$M$3)</f>
        <v>0.921851796291423</v>
      </c>
      <c r="H8" s="20" t="n">
        <f aca="false">COS(C8*$N$3)</f>
        <v>0.318132105338216</v>
      </c>
      <c r="I8" s="0" t="n">
        <f aca="false">F8*F9+G8*G9+H8*H9</f>
        <v>0.997131422311731</v>
      </c>
      <c r="J8" s="21" t="n">
        <f aca="false">ACOS(I8)*$M$3</f>
        <v>4.34085031872551</v>
      </c>
      <c r="K8" s="20"/>
      <c r="L8" s="20"/>
      <c r="M8" s="20"/>
      <c r="N8" s="20"/>
      <c r="O8" s="31" t="n">
        <v>1.72</v>
      </c>
      <c r="P8" s="31" t="n">
        <v>0.571</v>
      </c>
      <c r="Q8" s="31" t="n">
        <v>5</v>
      </c>
      <c r="R8" s="31" t="n">
        <v>326.46</v>
      </c>
      <c r="S8" s="31" t="n">
        <v>107.7</v>
      </c>
      <c r="T8" s="31" t="n">
        <v>0.738</v>
      </c>
      <c r="U8" s="31" t="n">
        <v>2.7</v>
      </c>
      <c r="V8" s="31" t="n">
        <v>3.97</v>
      </c>
      <c r="W8" s="31" t="n">
        <v>500</v>
      </c>
      <c r="X8" s="32" t="n">
        <v>12000000</v>
      </c>
      <c r="Y8" s="31" t="n">
        <v>19</v>
      </c>
      <c r="Z8" s="31" t="n">
        <v>19</v>
      </c>
      <c r="AA8" s="33"/>
      <c r="AB8" s="31" t="n">
        <v>30</v>
      </c>
      <c r="AC8" s="33"/>
      <c r="AD8" s="31" t="s">
        <v>54</v>
      </c>
      <c r="AE8" s="31" t="s">
        <v>55</v>
      </c>
      <c r="AL8" s="0" t="s">
        <v>56</v>
      </c>
    </row>
    <row r="9" customFormat="false" ht="14.9" hidden="false" customHeight="false" outlineLevel="0" collapsed="false">
      <c r="A9" s="18"/>
      <c r="B9" s="34" t="n">
        <v>99.9</v>
      </c>
      <c r="C9" s="26" t="n">
        <v>74.1</v>
      </c>
      <c r="D9" s="26"/>
      <c r="E9" s="26"/>
      <c r="F9" s="27" t="n">
        <f aca="false">SIN(C9*$N$3)*COS(B9*$N$3)</f>
        <v>-0.165351316095152</v>
      </c>
      <c r="G9" s="27" t="n">
        <f aca="false">SIN(B9/$M$3)*SIN(C9/$M$3)</f>
        <v>0.947420333315841</v>
      </c>
      <c r="H9" s="27" t="n">
        <f aca="false">COS(C9*$N$3)</f>
        <v>0.273959220113692</v>
      </c>
      <c r="I9" s="26"/>
      <c r="J9" s="28"/>
      <c r="K9" s="26" t="n">
        <f aca="false">(B9-B8)</f>
        <v>-3.59999999999999</v>
      </c>
      <c r="L9" s="26" t="n">
        <f aca="false">(C9-C8)</f>
        <v>2.64999999999999</v>
      </c>
      <c r="M9" s="26" t="n">
        <f aca="false">2*ASIN(SQRT(SIN(L9/($M$3*2))^2+COS(C8/$M$3)*COS(C9/$M$3)*SIN(K9/2/$M$3)^2))*$M$3</f>
        <v>2.85518742258612</v>
      </c>
      <c r="N9" s="26"/>
      <c r="O9" s="26" t="n">
        <v>1.71</v>
      </c>
      <c r="P9" s="26" t="n">
        <v>0.56</v>
      </c>
      <c r="Q9" s="26" t="n">
        <v>4.1</v>
      </c>
      <c r="R9" s="26" t="n">
        <v>326.41</v>
      </c>
      <c r="S9" s="26" t="n">
        <v>109.7</v>
      </c>
      <c r="T9" s="26" t="n">
        <v>0.75</v>
      </c>
      <c r="U9" s="26" t="n">
        <v>2.67</v>
      </c>
      <c r="V9" s="26" t="n">
        <v>3.99</v>
      </c>
      <c r="W9" s="26" t="n">
        <v>440</v>
      </c>
      <c r="X9" s="29" t="n">
        <v>11000000</v>
      </c>
      <c r="Y9" s="26" t="n">
        <v>18</v>
      </c>
      <c r="Z9" s="26" t="n">
        <v>18.6</v>
      </c>
      <c r="AA9" s="30" t="n">
        <f aca="false">Z9-Z8</f>
        <v>-0.399999999999999</v>
      </c>
      <c r="AB9" s="26" t="n">
        <v>23</v>
      </c>
      <c r="AC9" s="30" t="n">
        <f aca="false">AB9-AB8</f>
        <v>-7</v>
      </c>
      <c r="AD9" s="26"/>
      <c r="AE9" s="26"/>
      <c r="AF9" s="0" t="n">
        <v>222.7</v>
      </c>
      <c r="AG9" s="0" t="n">
        <v>95.1</v>
      </c>
      <c r="AH9" s="0" t="n">
        <v>12.6</v>
      </c>
    </row>
    <row r="10" customFormat="false" ht="14.9" hidden="false" customHeight="true" outlineLevel="0" collapsed="false">
      <c r="A10" s="18" t="s">
        <v>57</v>
      </c>
      <c r="B10" s="19" t="n">
        <v>297.14</v>
      </c>
      <c r="C10" s="20" t="n">
        <v>56.3</v>
      </c>
      <c r="D10" s="20" t="n">
        <v>120.95</v>
      </c>
      <c r="E10" s="20" t="n">
        <v>33.45</v>
      </c>
      <c r="F10" s="20" t="n">
        <f aca="false">SIN(C10*$N$3)*COS(B10*$N$3)</f>
        <v>0.379509413972819</v>
      </c>
      <c r="G10" s="20" t="n">
        <f aca="false">SIN(B10/$M$3)*SIN(C10/$M$3)</f>
        <v>-0.740351446948894</v>
      </c>
      <c r="H10" s="20" t="n">
        <f aca="false">COS(C10*$N$3)</f>
        <v>0.554844428382124</v>
      </c>
      <c r="I10" s="0" t="n">
        <f aca="false">F10*F11+G10*G11+H10*H11</f>
        <v>0.786423235130168</v>
      </c>
      <c r="J10" s="21" t="n">
        <f aca="false">ACOS(I10)*$M$3</f>
        <v>38.1474976643496</v>
      </c>
      <c r="K10" s="20"/>
      <c r="L10" s="20"/>
      <c r="M10" s="20"/>
      <c r="N10" s="20"/>
      <c r="O10" s="31" t="n">
        <v>2.71</v>
      </c>
      <c r="P10" s="31" t="n">
        <v>0.647</v>
      </c>
      <c r="Q10" s="31" t="n">
        <v>2</v>
      </c>
      <c r="R10" s="31" t="n">
        <v>340.07</v>
      </c>
      <c r="S10" s="31" t="n">
        <v>204.2</v>
      </c>
      <c r="T10" s="31" t="n">
        <v>0.957</v>
      </c>
      <c r="U10" s="31" t="n">
        <v>4.46</v>
      </c>
      <c r="V10" s="31" t="n">
        <v>3.02</v>
      </c>
      <c r="W10" s="31" t="n">
        <v>0.13</v>
      </c>
      <c r="X10" s="32" t="n">
        <v>3500</v>
      </c>
      <c r="Y10" s="31" t="n">
        <v>1.2</v>
      </c>
      <c r="Z10" s="31" t="n">
        <v>15</v>
      </c>
      <c r="AA10" s="33"/>
      <c r="AB10" s="31" t="n">
        <v>36</v>
      </c>
      <c r="AC10" s="33"/>
      <c r="AD10" s="31" t="s">
        <v>54</v>
      </c>
      <c r="AE10" s="31" t="s">
        <v>58</v>
      </c>
      <c r="AL10" s="35" t="s">
        <v>59</v>
      </c>
    </row>
    <row r="11" customFormat="false" ht="14.9" hidden="false" customHeight="false" outlineLevel="0" collapsed="false">
      <c r="A11" s="18"/>
      <c r="B11" s="34" t="n">
        <v>257.6</v>
      </c>
      <c r="C11" s="26" t="n">
        <v>27.14</v>
      </c>
      <c r="D11" s="26"/>
      <c r="E11" s="26"/>
      <c r="F11" s="27" t="n">
        <f aca="false">SIN(C11*$N$3)*COS(B11*$N$3)</f>
        <v>-0.097955017982277</v>
      </c>
      <c r="G11" s="27" t="n">
        <f aca="false">SIN(B11/$M$3)*SIN(C11/$M$3)</f>
        <v>-0.445524960916557</v>
      </c>
      <c r="H11" s="27" t="n">
        <f aca="false">COS(C11*$N$3)</f>
        <v>0.889894557603536</v>
      </c>
      <c r="J11" s="21"/>
      <c r="K11" s="26" t="n">
        <f aca="false">(B11-B10)</f>
        <v>-39.54</v>
      </c>
      <c r="L11" s="26" t="n">
        <f aca="false">(C11-C10)</f>
        <v>-29.16</v>
      </c>
      <c r="M11" s="26" t="n">
        <f aca="false">2*ASIN(SQRT(SIN(L11/($M$3*2))^2+COS(C10/$M$3)*COS(C11/$M$3)*SIN(K11/2/$M$3)^2))*$M$3</f>
        <v>40.5109311316333</v>
      </c>
      <c r="N11" s="26"/>
      <c r="O11" s="26" t="n">
        <v>2.7</v>
      </c>
      <c r="P11" s="26" t="n">
        <v>0.65</v>
      </c>
      <c r="Q11" s="26" t="n">
        <v>3.2</v>
      </c>
      <c r="R11" s="26" t="n">
        <v>340.08</v>
      </c>
      <c r="S11" s="26" t="n">
        <v>204</v>
      </c>
      <c r="T11" s="26" t="n">
        <v>0.957</v>
      </c>
      <c r="U11" s="26" t="n">
        <v>4.44</v>
      </c>
      <c r="V11" s="26" t="n">
        <v>3.03</v>
      </c>
      <c r="W11" s="26" t="n">
        <v>0.44</v>
      </c>
      <c r="X11" s="29" t="n">
        <v>16000</v>
      </c>
      <c r="Y11" s="26" t="n">
        <v>2</v>
      </c>
      <c r="Z11" s="26" t="n">
        <v>15.1</v>
      </c>
      <c r="AA11" s="30" t="n">
        <f aca="false">Z11-Z10</f>
        <v>0.0999999999999996</v>
      </c>
      <c r="AB11" s="26" t="n">
        <v>37</v>
      </c>
      <c r="AC11" s="30" t="n">
        <f aca="false">AB11-AB10</f>
        <v>1</v>
      </c>
      <c r="AD11" s="26"/>
      <c r="AE11" s="26"/>
      <c r="AG11" s="0" t="n">
        <v>68.3</v>
      </c>
      <c r="AH11" s="0" t="n">
        <v>17.4</v>
      </c>
      <c r="AI11" s="0" t="s">
        <v>60</v>
      </c>
    </row>
    <row r="12" customFormat="false" ht="14.9" hidden="false" customHeight="true" outlineLevel="0" collapsed="false">
      <c r="A12" s="18" t="s">
        <v>61</v>
      </c>
      <c r="B12" s="19" t="n">
        <v>95.19</v>
      </c>
      <c r="C12" s="20" t="n">
        <v>64.86</v>
      </c>
      <c r="D12" s="20"/>
      <c r="E12" s="20"/>
      <c r="F12" s="20" t="n">
        <f aca="false">SIN(C12*$N$3)*COS(B12*$N$3)</f>
        <v>-0.0818898236384104</v>
      </c>
      <c r="G12" s="20" t="n">
        <f aca="false">SIN(B12/$M$3)*SIN(C12/$M$3)</f>
        <v>0.901560996628406</v>
      </c>
      <c r="H12" s="20" t="n">
        <f aca="false">COS(C12*$N$3)</f>
        <v>0.424831526776045</v>
      </c>
      <c r="I12" s="0" t="n">
        <f aca="false">F12*F13+G12*G13+H12*H13</f>
        <v>0.999439025970807</v>
      </c>
      <c r="J12" s="21" t="n">
        <f aca="false">ACOS(I12)*$M$3</f>
        <v>1.91924011730467</v>
      </c>
      <c r="K12" s="20"/>
      <c r="L12" s="20"/>
      <c r="M12" s="20"/>
      <c r="N12" s="20"/>
      <c r="O12" s="31"/>
      <c r="P12" s="31"/>
      <c r="Q12" s="31"/>
      <c r="R12" s="31"/>
      <c r="S12" s="31"/>
      <c r="T12" s="31"/>
      <c r="U12" s="31"/>
      <c r="V12" s="31"/>
      <c r="W12" s="31"/>
      <c r="X12" s="32"/>
      <c r="Y12" s="31"/>
      <c r="Z12" s="31" t="n">
        <v>17</v>
      </c>
      <c r="AA12" s="33"/>
      <c r="AB12" s="31" t="n">
        <v>27.8</v>
      </c>
      <c r="AC12" s="33"/>
      <c r="AD12" s="31"/>
      <c r="AE12" s="36" t="s">
        <v>62</v>
      </c>
      <c r="AL12" s="37" t="s">
        <v>63</v>
      </c>
    </row>
    <row r="13" customFormat="false" ht="14.9" hidden="false" customHeight="false" outlineLevel="0" collapsed="false">
      <c r="A13" s="18"/>
      <c r="B13" s="34" t="n">
        <v>95.89</v>
      </c>
      <c r="C13" s="26" t="n">
        <v>66.67</v>
      </c>
      <c r="D13" s="26"/>
      <c r="E13" s="26"/>
      <c r="F13" s="27" t="n">
        <f aca="false">SIN(C13*$N$3)*COS(B13*$N$3)</f>
        <v>-0.0942287141725315</v>
      </c>
      <c r="G13" s="27" t="n">
        <f aca="false">SIN(B13/$M$3)*SIN(C13/$M$3)</f>
        <v>0.913391527195805</v>
      </c>
      <c r="H13" s="27" t="n">
        <f aca="false">COS(C13*$N$3)</f>
        <v>0.396026346942102</v>
      </c>
      <c r="I13" s="26"/>
      <c r="J13" s="28"/>
      <c r="K13" s="26" t="n">
        <f aca="false">(B13-B12)</f>
        <v>0.700000000000003</v>
      </c>
      <c r="L13" s="26" t="n">
        <f aca="false">(C13-C12)</f>
        <v>1.81</v>
      </c>
      <c r="M13" s="26" t="n">
        <f aca="false">2*ASIN(SQRT(SIN(L13/($M$3*2))^2+COS(C12/$M$3)*COS(C13/$M$3)*SIN(K13/2/$M$3)^2))*$M$3</f>
        <v>1.8326354396105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9"/>
      <c r="Y13" s="26"/>
      <c r="Z13" s="26" t="n">
        <v>16.89</v>
      </c>
      <c r="AA13" s="30" t="n">
        <f aca="false">Z13-Z12</f>
        <v>-0.109999999999999</v>
      </c>
      <c r="AB13" s="26" t="n">
        <v>28.7</v>
      </c>
      <c r="AC13" s="30" t="n">
        <f aca="false">AB13-AB12</f>
        <v>0.899999999999999</v>
      </c>
      <c r="AD13" s="26"/>
      <c r="AE13" s="26"/>
      <c r="AF13" s="0" t="n">
        <v>124.8</v>
      </c>
      <c r="AG13" s="0" t="n">
        <v>85</v>
      </c>
      <c r="AH13" s="0" t="n">
        <v>21</v>
      </c>
    </row>
    <row r="14" customFormat="false" ht="14.9" hidden="false" customHeight="true" outlineLevel="0" collapsed="false">
      <c r="A14" s="18" t="s">
        <v>64</v>
      </c>
      <c r="B14" s="19" t="n">
        <v>177.566</v>
      </c>
      <c r="C14" s="20" t="n">
        <v>53.8</v>
      </c>
      <c r="D14" s="20"/>
      <c r="E14" s="20"/>
      <c r="F14" s="20" t="n">
        <f aca="false">SIN(C14*$N$3)*COS(B14*$N$3)</f>
        <v>-0.806232275566423</v>
      </c>
      <c r="G14" s="20" t="n">
        <f aca="false">SIN(B14/$M$3)*SIN(C14/$M$3)</f>
        <v>0.0342704273023355</v>
      </c>
      <c r="H14" s="20" t="n">
        <f aca="false">COS(C14*$N$3)</f>
        <v>0.590605668485753</v>
      </c>
      <c r="I14" s="0" t="n">
        <f aca="false">F14*F15+G14*G15+H14*H15</f>
        <v>-0.0345599076659999</v>
      </c>
      <c r="J14" s="21" t="n">
        <f aca="false">ACOS(I14)*$M$3</f>
        <v>91.9805313417602</v>
      </c>
      <c r="K14" s="20"/>
      <c r="L14" s="20"/>
      <c r="M14" s="20"/>
      <c r="N14" s="20"/>
      <c r="O14" s="31"/>
      <c r="P14" s="31"/>
      <c r="Q14" s="31"/>
      <c r="R14" s="31"/>
      <c r="S14" s="31"/>
      <c r="T14" s="31"/>
      <c r="U14" s="31"/>
      <c r="V14" s="31"/>
      <c r="W14" s="31"/>
      <c r="X14" s="32"/>
      <c r="Y14" s="31"/>
      <c r="Z14" s="38" t="n">
        <v>16.5</v>
      </c>
      <c r="AA14" s="30"/>
      <c r="AB14" s="38" t="n">
        <v>27</v>
      </c>
      <c r="AC14" s="33"/>
      <c r="AD14" s="31"/>
      <c r="AE14" s="31"/>
      <c r="AL14" s="0" t="s">
        <v>65</v>
      </c>
    </row>
    <row r="15" customFormat="false" ht="14.9" hidden="false" customHeight="false" outlineLevel="0" collapsed="false">
      <c r="A15" s="18"/>
      <c r="B15" s="34" t="n">
        <v>280.1</v>
      </c>
      <c r="C15" s="26" t="n">
        <v>76.7</v>
      </c>
      <c r="D15" s="26"/>
      <c r="E15" s="26"/>
      <c r="F15" s="27" t="n">
        <f aca="false">SIN(C15*$N$3)*COS(B15*$N$3)</f>
        <v>0.170663187407053</v>
      </c>
      <c r="G15" s="27" t="n">
        <f aca="false">SIN(B15/$M$3)*SIN(C15/$M$3)</f>
        <v>-0.958097695539883</v>
      </c>
      <c r="H15" s="27" t="n">
        <f aca="false">COS(C15*$N$3)</f>
        <v>0.230049738676728</v>
      </c>
      <c r="I15" s="26"/>
      <c r="J15" s="28"/>
      <c r="K15" s="26" t="n">
        <f aca="false">(B15-B14)</f>
        <v>102.534</v>
      </c>
      <c r="L15" s="26" t="n">
        <f aca="false">(C15-C14)</f>
        <v>22.9</v>
      </c>
      <c r="M15" s="26" t="n">
        <f aca="false">2*ASIN(SQRT(SIN(L15/($M$3*2))^2+COS(C14/$M$3)*COS(C15/$M$3)*SIN(K15/2/$M$3)^2))*$M$3</f>
        <v>40.9019967177853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9"/>
      <c r="Y15" s="26"/>
      <c r="Z15" s="39" t="n">
        <v>14.7</v>
      </c>
      <c r="AA15" s="30" t="n">
        <f aca="false">Z15-Z14</f>
        <v>-1.8</v>
      </c>
      <c r="AB15" s="39" t="n">
        <v>36</v>
      </c>
      <c r="AC15" s="30" t="n">
        <f aca="false">AB15-AB14</f>
        <v>9</v>
      </c>
      <c r="AD15" s="26"/>
      <c r="AE15" s="26"/>
      <c r="AF15" s="0" t="n">
        <v>123</v>
      </c>
      <c r="AG15" s="0" t="n">
        <v>90</v>
      </c>
      <c r="AH15" s="0" t="n">
        <v>25</v>
      </c>
    </row>
    <row r="16" customFormat="false" ht="14.9" hidden="false" customHeight="true" outlineLevel="0" collapsed="false">
      <c r="A16" s="18" t="s">
        <v>66</v>
      </c>
      <c r="B16" s="19" t="n">
        <v>6.74</v>
      </c>
      <c r="C16" s="20" t="n">
        <v>17.2</v>
      </c>
      <c r="D16" s="20"/>
      <c r="E16" s="20"/>
      <c r="F16" s="20" t="n">
        <f aca="false">SIN(C16*$N$3)*COS(B16*$N$3)</f>
        <v>0.293664398370987</v>
      </c>
      <c r="G16" s="20" t="n">
        <f aca="false">SIN(B16/$M$3)*SIN(C16/$M$3)</f>
        <v>0.0347055009539018</v>
      </c>
      <c r="H16" s="20" t="n">
        <f aca="false">COS(C16*$N$3)</f>
        <v>0.955278362223779</v>
      </c>
      <c r="I16" s="0" t="n">
        <f aca="false">F16*F17+G16*G17+H16*H17</f>
        <v>0.999362383920505</v>
      </c>
      <c r="J16" s="21" t="n">
        <f aca="false">ACOS(I16)*$M$3</f>
        <v>2.04616353064439</v>
      </c>
      <c r="K16" s="20"/>
      <c r="L16" s="20"/>
      <c r="M16" s="20"/>
      <c r="N16" s="20"/>
      <c r="O16" s="31"/>
      <c r="P16" s="31"/>
      <c r="Q16" s="31"/>
      <c r="R16" s="31"/>
      <c r="S16" s="31"/>
      <c r="T16" s="31"/>
      <c r="U16" s="31"/>
      <c r="V16" s="31"/>
      <c r="W16" s="31"/>
      <c r="X16" s="32"/>
      <c r="Y16" s="31"/>
      <c r="Z16" s="31" t="n">
        <v>9.6</v>
      </c>
      <c r="AA16" s="33"/>
      <c r="AB16" s="31" t="n">
        <v>25.7</v>
      </c>
      <c r="AC16" s="33"/>
      <c r="AD16" s="31"/>
      <c r="AE16" s="31"/>
      <c r="AL16" s="37" t="s">
        <v>67</v>
      </c>
    </row>
    <row r="17" customFormat="false" ht="14.9" hidden="false" customHeight="false" outlineLevel="0" collapsed="false">
      <c r="A17" s="18"/>
      <c r="B17" s="34" t="n">
        <v>11.6</v>
      </c>
      <c r="C17" s="26" t="n">
        <v>18.6</v>
      </c>
      <c r="D17" s="26"/>
      <c r="E17" s="26"/>
      <c r="F17" s="26" t="n">
        <f aca="false">SIN(C17*$N$3)*COS(B17*$N$3)</f>
        <v>0.312444644688139</v>
      </c>
      <c r="G17" s="26" t="n">
        <f aca="false">SIN(B17/$M$3)*SIN(C17/$M$3)</f>
        <v>0.064135674700834</v>
      </c>
      <c r="H17" s="26" t="n">
        <f aca="false">COS(C17*$N$3)</f>
        <v>0.947768410127902</v>
      </c>
      <c r="I17" s="26"/>
      <c r="J17" s="28"/>
      <c r="K17" s="26" t="n">
        <f aca="false">(B17-B16)</f>
        <v>4.86</v>
      </c>
      <c r="L17" s="26" t="n">
        <f aca="false">(C17-C16)</f>
        <v>1.4</v>
      </c>
      <c r="M17" s="26" t="n">
        <f aca="false">2*ASIN(SQRT(SIN(L17/($M$3*2))^2+COS(C16/$M$3)*COS(C17/$M$3)*SIN(K17/2/$M$3)^2))*$M$3</f>
        <v>4.83173797153227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9"/>
      <c r="Y17" s="26"/>
      <c r="Z17" s="26" t="n">
        <v>15.2</v>
      </c>
      <c r="AA17" s="30" t="n">
        <f aca="false">Z17-Z16</f>
        <v>5.6</v>
      </c>
      <c r="AB17" s="26" t="n">
        <v>20</v>
      </c>
      <c r="AC17" s="30" t="n">
        <f aca="false">AB17-AB16</f>
        <v>-5.7</v>
      </c>
      <c r="AD17" s="26"/>
      <c r="AE17" s="26"/>
      <c r="AG17" s="0" t="n">
        <v>86.782</v>
      </c>
      <c r="AH17" s="0" t="n">
        <v>25.648</v>
      </c>
    </row>
    <row r="18" customFormat="false" ht="14.9" hidden="false" customHeight="true" outlineLevel="0" collapsed="false">
      <c r="A18" s="18" t="s">
        <v>68</v>
      </c>
      <c r="B18" s="19" t="n">
        <v>346.41</v>
      </c>
      <c r="C18" s="20" t="n">
        <v>70</v>
      </c>
      <c r="D18" s="20"/>
      <c r="E18" s="20"/>
      <c r="F18" s="20" t="n">
        <f aca="false">SIN(C18*$N$3)*COS(B18*$N$3)</f>
        <v>0.913383129058126</v>
      </c>
      <c r="G18" s="20" t="n">
        <f aca="false">SIN(B18/$M$3)*SIN(C18/$M$3)</f>
        <v>-0.2208019026506</v>
      </c>
      <c r="H18" s="20" t="n">
        <f aca="false">COS(C18*$N$3)</f>
        <v>0.342020144637508</v>
      </c>
      <c r="I18" s="0" t="n">
        <f aca="false">F18*F19+G18*G19+H18*H19</f>
        <v>0.970384844827603</v>
      </c>
      <c r="J18" s="21" t="n">
        <f aca="false">ACOS(I18)*$M$3</f>
        <v>13.9788779316522</v>
      </c>
      <c r="K18" s="20"/>
      <c r="L18" s="20"/>
      <c r="M18" s="20"/>
      <c r="N18" s="20"/>
      <c r="O18" s="31"/>
      <c r="P18" s="31"/>
      <c r="Q18" s="31"/>
      <c r="R18" s="31"/>
      <c r="S18" s="31"/>
      <c r="T18" s="31"/>
      <c r="U18" s="31"/>
      <c r="V18" s="31"/>
      <c r="W18" s="31"/>
      <c r="X18" s="32"/>
      <c r="Y18" s="31"/>
      <c r="Z18" s="31" t="n">
        <v>13.4</v>
      </c>
      <c r="AA18" s="33"/>
      <c r="AB18" s="31" t="n">
        <v>40.2</v>
      </c>
      <c r="AC18" s="33"/>
      <c r="AD18" s="31"/>
      <c r="AE18" s="31"/>
      <c r="AL18" s="37" t="s">
        <v>67</v>
      </c>
    </row>
    <row r="19" customFormat="false" ht="14.9" hidden="false" customHeight="false" outlineLevel="0" collapsed="false">
      <c r="A19" s="18"/>
      <c r="B19" s="34" t="n">
        <v>331.7</v>
      </c>
      <c r="C19" s="26" t="n">
        <v>71.6</v>
      </c>
      <c r="D19" s="26"/>
      <c r="E19" s="26"/>
      <c r="F19" s="26" t="n">
        <f aca="false">SIN(C19*$N$3)*COS(B19*$N$3)</f>
        <v>0.83546383616837</v>
      </c>
      <c r="G19" s="26" t="n">
        <f aca="false">SIN(B19/$M$3)*SIN(C19/$M$3)</f>
        <v>-0.449850934281378</v>
      </c>
      <c r="H19" s="26" t="n">
        <f aca="false">COS(C19*$N$3)</f>
        <v>0.31564903830204</v>
      </c>
      <c r="I19" s="26"/>
      <c r="J19" s="28"/>
      <c r="K19" s="26" t="n">
        <f aca="false">(B19-B18)</f>
        <v>-14.71</v>
      </c>
      <c r="L19" s="26" t="n">
        <f aca="false">(C19-C18)</f>
        <v>1.59999999999999</v>
      </c>
      <c r="M19" s="26" t="n">
        <f aca="false">2*ASIN(SQRT(SIN(L19/($M$3*2))^2+COS(C18/$M$3)*COS(C19/$M$3)*SIN(K19/2/$M$3)^2))*$M$3</f>
        <v>5.08027264120153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9"/>
      <c r="Y19" s="26"/>
      <c r="Z19" s="26" t="n">
        <v>18.1</v>
      </c>
      <c r="AA19" s="30" t="n">
        <f aca="false">Z19-Z18</f>
        <v>4.7</v>
      </c>
      <c r="AB19" s="26" t="n">
        <v>38.1</v>
      </c>
      <c r="AC19" s="30" t="n">
        <f aca="false">AB19-AB18</f>
        <v>-2.1</v>
      </c>
      <c r="AD19" s="26"/>
      <c r="AE19" s="26"/>
      <c r="AG19" s="0" t="n">
        <v>83.317</v>
      </c>
      <c r="AH19" s="0" t="n">
        <v>33.42</v>
      </c>
    </row>
    <row r="20" customFormat="false" ht="14.9" hidden="false" customHeight="true" outlineLevel="0" collapsed="false">
      <c r="A20" s="40" t="s">
        <v>69</v>
      </c>
      <c r="B20" s="19" t="n">
        <v>232.2</v>
      </c>
      <c r="C20" s="20" t="n">
        <v>47</v>
      </c>
      <c r="D20" s="20"/>
      <c r="E20" s="20"/>
      <c r="F20" s="20" t="n">
        <f aca="false">SIN(C20*$N$3)*COS(B20*$N$3)</f>
        <v>-0.448251844721875</v>
      </c>
      <c r="G20" s="20" t="n">
        <f aca="false">SIN(B20/$M$3)*SIN(C20/$M$3)</f>
        <v>-0.577882790573008</v>
      </c>
      <c r="H20" s="20" t="n">
        <f aca="false">COS(C20*$N$3)</f>
        <v>0.681998360748022</v>
      </c>
      <c r="I20" s="0" t="n">
        <f aca="false">F20*F21+G20*G21+H20*H21</f>
        <v>0.992983618055257</v>
      </c>
      <c r="J20" s="21" t="n">
        <f aca="false">ACOS(I20)*$M$3</f>
        <v>6.79123096080098</v>
      </c>
      <c r="K20" s="20"/>
      <c r="L20" s="20"/>
      <c r="M20" s="20"/>
      <c r="N20" s="20"/>
      <c r="O20" s="31"/>
      <c r="P20" s="31"/>
      <c r="Q20" s="31"/>
      <c r="R20" s="31"/>
      <c r="S20" s="31"/>
      <c r="T20" s="31"/>
      <c r="U20" s="31"/>
      <c r="V20" s="31"/>
      <c r="W20" s="31"/>
      <c r="X20" s="32"/>
      <c r="Y20" s="31"/>
      <c r="Z20" s="31" t="n">
        <v>27.76</v>
      </c>
      <c r="AA20" s="33"/>
      <c r="AB20" s="31" t="n">
        <v>42.8</v>
      </c>
      <c r="AC20" s="33"/>
      <c r="AD20" s="31"/>
      <c r="AE20" s="31"/>
      <c r="AL20" s="37" t="s">
        <v>70</v>
      </c>
    </row>
    <row r="21" customFormat="false" ht="14.9" hidden="false" customHeight="false" outlineLevel="0" collapsed="false">
      <c r="A21" s="40"/>
      <c r="B21" s="34" t="n">
        <v>222.9</v>
      </c>
      <c r="C21" s="26" t="n">
        <v>46.4</v>
      </c>
      <c r="D21" s="26"/>
      <c r="E21" s="26"/>
      <c r="F21" s="26" t="n">
        <f aca="false">SIN(C21*$N$3)*COS(B21*$N$3)</f>
        <v>-0.53048695632156</v>
      </c>
      <c r="G21" s="26" t="n">
        <f aca="false">SIN(B21/$M$3)*SIN(C21/$M$3)</f>
        <v>-0.492958896000701</v>
      </c>
      <c r="H21" s="26" t="n">
        <f aca="false">COS(C21*$N$3)</f>
        <v>0.689619544405796</v>
      </c>
      <c r="J21" s="21"/>
      <c r="K21" s="26" t="n">
        <f aca="false">(B21-B20)</f>
        <v>-9.29999999999998</v>
      </c>
      <c r="L21" s="26" t="n">
        <f aca="false">(C21-C20)</f>
        <v>-0.600000000000001</v>
      </c>
      <c r="M21" s="26" t="n">
        <f aca="false">2*ASIN(SQRT(SIN(L21/($M$3*2))^2+COS(C20/$M$3)*COS(C21/$M$3)*SIN(K21/2/$M$3)^2))*$M$3</f>
        <v>6.40244690140572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9"/>
      <c r="Y21" s="26"/>
      <c r="Z21" s="26" t="n">
        <v>35.7</v>
      </c>
      <c r="AA21" s="30" t="n">
        <f aca="false">Z21-Z20</f>
        <v>7.94</v>
      </c>
      <c r="AB21" s="26" t="n">
        <v>45.5</v>
      </c>
      <c r="AC21" s="30" t="n">
        <f aca="false">AB21-AB20</f>
        <v>2.7</v>
      </c>
      <c r="AD21" s="26"/>
      <c r="AE21" s="26"/>
      <c r="AF21" s="0" t="n">
        <v>66</v>
      </c>
      <c r="AG21" s="0" t="n">
        <v>85.5</v>
      </c>
      <c r="AH21" s="0" t="n">
        <v>38.69</v>
      </c>
      <c r="AI21" s="0" t="s">
        <v>71</v>
      </c>
    </row>
    <row r="22" customFormat="false" ht="14.9" hidden="false" customHeight="true" outlineLevel="0" collapsed="false">
      <c r="A22" s="40" t="s">
        <v>72</v>
      </c>
      <c r="B22" s="19" t="n">
        <v>188.1</v>
      </c>
      <c r="C22" s="20" t="n">
        <v>65.3</v>
      </c>
      <c r="D22" s="20"/>
      <c r="E22" s="20"/>
      <c r="F22" s="20" t="n">
        <f aca="false">SIN(C22*$N$3)*COS(B22*$N$3)</f>
        <v>-0.899444588921858</v>
      </c>
      <c r="G22" s="20" t="n">
        <f aca="false">SIN(B22/$M$3)*SIN(C22/$M$3)</f>
        <v>-0.12800991798809</v>
      </c>
      <c r="H22" s="20" t="n">
        <f aca="false">COS(C22*$N$3)</f>
        <v>0.417867074984224</v>
      </c>
      <c r="I22" s="0" t="n">
        <f aca="false">F22*F23+G22*G23+H22*H23</f>
        <v>0.999795424123069</v>
      </c>
      <c r="J22" s="21" t="n">
        <f aca="false">ACOS(I22)*$M$3</f>
        <v>1.15897013672582</v>
      </c>
      <c r="K22" s="20"/>
      <c r="L22" s="20"/>
      <c r="M22" s="20"/>
      <c r="N22" s="20"/>
      <c r="O22" s="31"/>
      <c r="P22" s="31"/>
      <c r="Q22" s="31"/>
      <c r="R22" s="31"/>
      <c r="S22" s="31"/>
      <c r="T22" s="31"/>
      <c r="U22" s="31"/>
      <c r="V22" s="31"/>
      <c r="W22" s="31"/>
      <c r="X22" s="32"/>
      <c r="Y22" s="31"/>
      <c r="Z22" s="31" t="n">
        <v>19.43</v>
      </c>
      <c r="AA22" s="33"/>
      <c r="AB22" s="31" t="n">
        <v>40.7</v>
      </c>
      <c r="AC22" s="33"/>
      <c r="AD22" s="31"/>
      <c r="AE22" s="36" t="s">
        <v>73</v>
      </c>
      <c r="AL22" s="37" t="s">
        <v>74</v>
      </c>
    </row>
    <row r="23" customFormat="false" ht="14.9" hidden="false" customHeight="false" outlineLevel="0" collapsed="false">
      <c r="A23" s="40"/>
      <c r="B23" s="34" t="n">
        <v>188.5</v>
      </c>
      <c r="C23" s="26" t="n">
        <v>66.4</v>
      </c>
      <c r="D23" s="26"/>
      <c r="E23" s="26"/>
      <c r="F23" s="26" t="n">
        <f aca="false">SIN(C23*$N$3)*COS(B23*$N$3)</f>
        <v>-0.906297276115536</v>
      </c>
      <c r="G23" s="26" t="n">
        <f aca="false">SIN(B23/$M$3)*SIN(C23/$M$3)</f>
        <v>-0.135447031952302</v>
      </c>
      <c r="H23" s="26" t="n">
        <f aca="false">COS(C23*$N$3)</f>
        <v>0.400349033770374</v>
      </c>
      <c r="I23" s="26"/>
      <c r="J23" s="28"/>
      <c r="K23" s="26" t="n">
        <f aca="false">(B23-B22)</f>
        <v>0.400000000000006</v>
      </c>
      <c r="L23" s="26" t="n">
        <f aca="false">(C23-C22)</f>
        <v>1.10000000000001</v>
      </c>
      <c r="M23" s="26" t="n">
        <f aca="false">2*ASIN(SQRT(SIN(L23/($M$3*2))^2+COS(C22/$M$3)*COS(C23/$M$3)*SIN(K23/2/$M$3)^2))*$M$3</f>
        <v>1.11210088688526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9"/>
      <c r="Y23" s="26"/>
      <c r="Z23" s="26" t="n">
        <v>18.5</v>
      </c>
      <c r="AA23" s="30" t="n">
        <f aca="false">Z23-Z22</f>
        <v>-0.93</v>
      </c>
      <c r="AB23" s="26" t="n">
        <v>42</v>
      </c>
      <c r="AC23" s="30" t="n">
        <f aca="false">AB23-AB22</f>
        <v>1.3</v>
      </c>
      <c r="AD23" s="26"/>
      <c r="AE23" s="26"/>
      <c r="AF23" s="0" t="n">
        <v>90</v>
      </c>
      <c r="AG23" s="0" t="n">
        <v>71.84</v>
      </c>
      <c r="AH23" s="0" t="n">
        <v>35.3</v>
      </c>
    </row>
    <row r="24" customFormat="false" ht="14.9" hidden="false" customHeight="true" outlineLevel="0" collapsed="false">
      <c r="A24" s="40" t="s">
        <v>75</v>
      </c>
      <c r="B24" s="19" t="n">
        <v>156.5</v>
      </c>
      <c r="C24" s="20" t="n">
        <v>42.15</v>
      </c>
      <c r="D24" s="20"/>
      <c r="E24" s="20"/>
      <c r="F24" s="20" t="n">
        <f aca="false">SIN(C24*$N$3)*COS(B24*$N$3)</f>
        <v>-0.615415042257293</v>
      </c>
      <c r="G24" s="20" t="n">
        <f aca="false">SIN(B24/$M$3)*SIN(C24/$M$3)</f>
        <v>0.267590078394512</v>
      </c>
      <c r="H24" s="20" t="n">
        <f aca="false">COS(C24*$N$3)</f>
        <v>0.741390501495853</v>
      </c>
      <c r="I24" s="0" t="n">
        <f aca="false">F24*F25+G24*G25+H24*H25</f>
        <v>0.999806120837506</v>
      </c>
      <c r="J24" s="21" t="n">
        <f aca="false">ACOS(I24)*$M$3</f>
        <v>1.12826265966144</v>
      </c>
      <c r="K24" s="20"/>
      <c r="L24" s="20"/>
      <c r="M24" s="20"/>
      <c r="N24" s="20"/>
      <c r="O24" s="31"/>
      <c r="P24" s="31"/>
      <c r="Q24" s="31"/>
      <c r="R24" s="31"/>
      <c r="S24" s="31"/>
      <c r="T24" s="31"/>
      <c r="U24" s="31"/>
      <c r="V24" s="31"/>
      <c r="W24" s="31"/>
      <c r="X24" s="32"/>
      <c r="Y24" s="31"/>
      <c r="Z24" s="31" t="n">
        <v>22.11</v>
      </c>
      <c r="AA24" s="33"/>
      <c r="AB24" s="31" t="n">
        <v>35</v>
      </c>
      <c r="AC24" s="33"/>
      <c r="AD24" s="31"/>
      <c r="AE24" s="36" t="s">
        <v>76</v>
      </c>
      <c r="AL24" s="0" t="s">
        <v>77</v>
      </c>
    </row>
    <row r="25" customFormat="false" ht="14.9" hidden="false" customHeight="false" outlineLevel="0" collapsed="false">
      <c r="A25" s="40"/>
      <c r="B25" s="34" t="n">
        <v>155</v>
      </c>
      <c r="C25" s="26" t="n">
        <v>42.65</v>
      </c>
      <c r="D25" s="26"/>
      <c r="E25" s="26"/>
      <c r="F25" s="26" t="n">
        <f aca="false">SIN(C25*$N$3)*COS(B25*$N$3)</f>
        <v>-0.614039908275455</v>
      </c>
      <c r="G25" s="26" t="n">
        <f aca="false">SIN(B25/$M$3)*SIN(C25/$M$3)</f>
        <v>0.286331513952498</v>
      </c>
      <c r="H25" s="26" t="n">
        <f aca="false">COS(C25*$N$3)</f>
        <v>0.735506121771085</v>
      </c>
      <c r="I25" s="26"/>
      <c r="J25" s="28"/>
      <c r="K25" s="26" t="n">
        <f aca="false">(B25-B24)</f>
        <v>-1.5</v>
      </c>
      <c r="L25" s="26" t="n">
        <f aca="false">(C25-C24)</f>
        <v>0.5</v>
      </c>
      <c r="M25" s="26" t="n">
        <f aca="false">2*ASIN(SQRT(SIN(L25/($M$3*2))^2+COS(C24/$M$3)*COS(C25/$M$3)*SIN(K25/2/$M$3)^2))*$M$3</f>
        <v>1.21527878538935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9"/>
      <c r="Y25" s="26"/>
      <c r="Z25" s="26" t="n">
        <v>21.5</v>
      </c>
      <c r="AA25" s="30" t="n">
        <f aca="false">Z25-Z24</f>
        <v>-0.609999999999999</v>
      </c>
      <c r="AB25" s="26" t="n">
        <v>34.5</v>
      </c>
      <c r="AC25" s="30" t="n">
        <f aca="false">AB25-AB24</f>
        <v>-0.5</v>
      </c>
      <c r="AD25" s="26"/>
      <c r="AE25" s="26"/>
      <c r="AG25" s="0" t="n">
        <v>68.7</v>
      </c>
      <c r="AH25" s="0" t="n">
        <v>17.1</v>
      </c>
    </row>
    <row r="26" customFormat="false" ht="14.9" hidden="false" customHeight="true" outlineLevel="0" collapsed="false">
      <c r="A26" s="40" t="s">
        <v>78</v>
      </c>
      <c r="B26" s="19" t="n">
        <v>319.6</v>
      </c>
      <c r="C26" s="20" t="n">
        <v>46.2</v>
      </c>
      <c r="D26" s="20"/>
      <c r="E26" s="20"/>
      <c r="F26" s="20" t="n">
        <f aca="false">SIN(C26*$N$3)*COS(B26*$N$3)</f>
        <v>0.549648059086085</v>
      </c>
      <c r="G26" s="20" t="n">
        <f aca="false">SIN(B26/$M$3)*SIN(C26/$M$3)</f>
        <v>-0.467787170716479</v>
      </c>
      <c r="H26" s="20" t="n">
        <f aca="false">COS(C26*$N$3)</f>
        <v>0.692143174535422</v>
      </c>
      <c r="I26" s="0" t="n">
        <f aca="false">F26*F27+G26*G27+H26*H27</f>
        <v>0.335953984057174</v>
      </c>
      <c r="J26" s="21" t="n">
        <f aca="false">ACOS(I26)*$M$3</f>
        <v>70.3694404213559</v>
      </c>
      <c r="K26" s="20"/>
      <c r="L26" s="20"/>
      <c r="M26" s="20"/>
      <c r="N26" s="20"/>
      <c r="O26" s="31"/>
      <c r="P26" s="31"/>
      <c r="Q26" s="31"/>
      <c r="R26" s="31"/>
      <c r="S26" s="31"/>
      <c r="T26" s="31"/>
      <c r="U26" s="31"/>
      <c r="V26" s="31"/>
      <c r="W26" s="31"/>
      <c r="X26" s="32"/>
      <c r="Y26" s="31"/>
      <c r="Z26" s="31" t="n">
        <v>17.1</v>
      </c>
      <c r="AA26" s="33"/>
      <c r="AB26" s="31" t="n">
        <v>36.5</v>
      </c>
      <c r="AC26" s="33"/>
      <c r="AD26" s="31"/>
      <c r="AE26" s="36" t="s">
        <v>62</v>
      </c>
      <c r="AL26" s="37" t="s">
        <v>79</v>
      </c>
    </row>
    <row r="27" customFormat="false" ht="14.9" hidden="false" customHeight="false" outlineLevel="0" collapsed="false">
      <c r="A27" s="40"/>
      <c r="B27" s="34" t="n">
        <v>48.8</v>
      </c>
      <c r="C27" s="26" t="n">
        <v>61.8</v>
      </c>
      <c r="D27" s="26"/>
      <c r="E27" s="26"/>
      <c r="F27" s="26" t="n">
        <f aca="false">SIN(C27*$N$3)*COS(B27*$N$3)</f>
        <v>0.580505295303144</v>
      </c>
      <c r="G27" s="26" t="n">
        <f aca="false">SIN(B27/$M$3)*SIN(C27/$M$3)</f>
        <v>0.663105855591783</v>
      </c>
      <c r="H27" s="26" t="n">
        <f aca="false">COS(C27*$N$3)</f>
        <v>0.472550765955257</v>
      </c>
      <c r="I27" s="26"/>
      <c r="J27" s="28"/>
      <c r="K27" s="26" t="n">
        <f aca="false">(B27-B26)</f>
        <v>-270.8</v>
      </c>
      <c r="L27" s="26" t="n">
        <f aca="false">(C27-C26)</f>
        <v>15.6</v>
      </c>
      <c r="M27" s="26" t="n">
        <f aca="false">2*ASIN(SQRT(SIN(L27/($M$3*2))^2+COS(C26/$M$3)*COS(C27/$M$3)*SIN(K27/2/$M$3)^2))*$M$3</f>
        <v>50.159215012249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9"/>
      <c r="Y27" s="26"/>
      <c r="Z27" s="26" t="n">
        <v>24.1</v>
      </c>
      <c r="AA27" s="30" t="n">
        <f aca="false">Z27-Z26</f>
        <v>7</v>
      </c>
      <c r="AB27" s="26" t="n">
        <v>39.8</v>
      </c>
      <c r="AC27" s="30" t="n">
        <f aca="false">AB27-AB26</f>
        <v>3.3</v>
      </c>
      <c r="AD27" s="26"/>
      <c r="AE27" s="26"/>
      <c r="AF27" s="0" t="n">
        <v>31.6</v>
      </c>
      <c r="AG27" s="0" t="n">
        <v>58.4</v>
      </c>
      <c r="AH27" s="0" t="n">
        <v>21.3</v>
      </c>
    </row>
    <row r="28" customFormat="false" ht="14.9" hidden="false" customHeight="true" outlineLevel="0" collapsed="false">
      <c r="A28" s="40" t="s">
        <v>80</v>
      </c>
      <c r="B28" s="19" t="n">
        <v>171.8</v>
      </c>
      <c r="C28" s="20" t="n">
        <v>39.5</v>
      </c>
      <c r="D28" s="20"/>
      <c r="E28" s="20"/>
      <c r="F28" s="20" t="n">
        <f aca="false">SIN(C28*$N$3)*COS(B28*$N$3)</f>
        <v>-0.629575102516578</v>
      </c>
      <c r="G28" s="20" t="n">
        <f aca="false">SIN(B28/$M$3)*SIN(C28/$M$3)</f>
        <v>0.0907231603819058</v>
      </c>
      <c r="H28" s="20" t="n">
        <f aca="false">COS(C28*$N$3)</f>
        <v>0.771624583888797</v>
      </c>
      <c r="I28" s="0" t="n">
        <f aca="false">F28*F29+G28*G29+H28*H29</f>
        <v>0.963094340821787</v>
      </c>
      <c r="J28" s="21" t="n">
        <f aca="false">ACOS(I28)*$M$3</f>
        <v>15.6145295757697</v>
      </c>
      <c r="K28" s="20"/>
      <c r="L28" s="20"/>
      <c r="M28" s="20"/>
      <c r="N28" s="20"/>
      <c r="O28" s="31"/>
      <c r="P28" s="31"/>
      <c r="Q28" s="31"/>
      <c r="R28" s="31"/>
      <c r="S28" s="31"/>
      <c r="T28" s="31"/>
      <c r="U28" s="31"/>
      <c r="V28" s="31"/>
      <c r="W28" s="31"/>
      <c r="X28" s="32"/>
      <c r="Y28" s="31"/>
      <c r="Z28" s="31" t="n">
        <v>16.6</v>
      </c>
      <c r="AA28" s="33"/>
      <c r="AB28" s="31" t="n">
        <v>36.5</v>
      </c>
      <c r="AC28" s="33"/>
      <c r="AD28" s="31"/>
      <c r="AE28" s="36" t="s">
        <v>81</v>
      </c>
      <c r="AL28" s="37" t="s">
        <v>82</v>
      </c>
    </row>
    <row r="29" customFormat="false" ht="14.9" hidden="false" customHeight="false" outlineLevel="0" collapsed="false">
      <c r="A29" s="40"/>
      <c r="B29" s="34" t="n">
        <v>176.1</v>
      </c>
      <c r="C29" s="26" t="n">
        <v>54.8</v>
      </c>
      <c r="D29" s="26"/>
      <c r="E29" s="26"/>
      <c r="F29" s="26" t="n">
        <f aca="false">SIN(C29*$N$3)*COS(B29*$N$3)</f>
        <v>-0.815252617775965</v>
      </c>
      <c r="G29" s="26" t="n">
        <f aca="false">SIN(B29/$M$3)*SIN(C29/$M$3)</f>
        <v>0.055578350596219</v>
      </c>
      <c r="H29" s="26" t="n">
        <f aca="false">COS(C29*$N$3)</f>
        <v>0.576432317062845</v>
      </c>
      <c r="I29" s="26"/>
      <c r="J29" s="28"/>
      <c r="K29" s="26" t="n">
        <f aca="false">(B29-B28)</f>
        <v>4.29999999999998</v>
      </c>
      <c r="L29" s="26" t="n">
        <f aca="false">(C29-C28)</f>
        <v>15.3</v>
      </c>
      <c r="M29" s="26" t="n">
        <f aca="false">2*ASIN(SQRT(SIN(L29/($M$3*2))^2+COS(C28/$M$3)*COS(C29/$M$3)*SIN(K29/2/$M$3)^2))*$M$3</f>
        <v>15.5695399917012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9"/>
      <c r="Y29" s="26"/>
      <c r="Z29" s="26" t="n">
        <v>16.3</v>
      </c>
      <c r="AA29" s="30" t="n">
        <f aca="false">Z29-Z28</f>
        <v>-0.300000000000001</v>
      </c>
      <c r="AB29" s="26" t="n">
        <v>39.8</v>
      </c>
      <c r="AC29" s="30" t="n">
        <f aca="false">AB29-AB28</f>
        <v>3.3</v>
      </c>
      <c r="AD29" s="26"/>
      <c r="AE29" s="26"/>
      <c r="AG29" s="0" t="n">
        <v>72.24</v>
      </c>
      <c r="AH29" s="0" t="n">
        <v>23.313</v>
      </c>
    </row>
    <row r="30" customFormat="false" ht="14.9" hidden="false" customHeight="true" outlineLevel="0" collapsed="false">
      <c r="A30" s="40" t="s">
        <v>83</v>
      </c>
      <c r="B30" s="19" t="n">
        <v>243.6</v>
      </c>
      <c r="C30" s="20" t="n">
        <v>17.9</v>
      </c>
      <c r="D30" s="20"/>
      <c r="E30" s="20"/>
      <c r="F30" s="20" t="n">
        <f aca="false">SIN(C30*$N$3)*COS(B30*$N$3)</f>
        <v>-0.136661566015519</v>
      </c>
      <c r="G30" s="20" t="n">
        <f aca="false">SIN(B30/$M$3)*SIN(C30/$M$3)</f>
        <v>-0.275302936182493</v>
      </c>
      <c r="H30" s="20" t="n">
        <f aca="false">COS(C30*$N$3)</f>
        <v>0.95159440398916</v>
      </c>
      <c r="I30" s="0" t="n">
        <f aca="false">F30*F31+G30*G31+H30*H31</f>
        <v>0.999789193717477</v>
      </c>
      <c r="J30" s="21" t="n">
        <f aca="false">ACOS(I30)*$M$3</f>
        <v>1.17648673609175</v>
      </c>
      <c r="K30" s="20"/>
      <c r="L30" s="20"/>
      <c r="M30" s="20"/>
      <c r="N30" s="20"/>
      <c r="O30" s="31"/>
      <c r="P30" s="31"/>
      <c r="Q30" s="31"/>
      <c r="R30" s="31"/>
      <c r="S30" s="31"/>
      <c r="T30" s="31"/>
      <c r="U30" s="31"/>
      <c r="V30" s="31"/>
      <c r="W30" s="31"/>
      <c r="X30" s="32"/>
      <c r="Y30" s="31"/>
      <c r="Z30" s="31" t="n">
        <v>17.4</v>
      </c>
      <c r="AA30" s="33"/>
      <c r="AB30" s="31"/>
      <c r="AC30" s="33"/>
      <c r="AD30" s="31"/>
      <c r="AE30" s="36"/>
      <c r="AL30" s="0" t="s">
        <v>84</v>
      </c>
    </row>
    <row r="31" customFormat="false" ht="14.9" hidden="false" customHeight="false" outlineLevel="0" collapsed="false">
      <c r="A31" s="40"/>
      <c r="B31" s="34" t="n">
        <v>242.2</v>
      </c>
      <c r="C31" s="26" t="n">
        <v>16.8</v>
      </c>
      <c r="D31" s="26"/>
      <c r="E31" s="26"/>
      <c r="F31" s="26" t="n">
        <f aca="false">SIN(C31*$N$3)*COS(B31*$N$3)</f>
        <v>-0.134800569813705</v>
      </c>
      <c r="G31" s="26" t="n">
        <f aca="false">SIN(B31/$M$3)*SIN(C31/$M$3)</f>
        <v>-0.255672027874459</v>
      </c>
      <c r="H31" s="26" t="n">
        <f aca="false">COS(C31*$N$3)</f>
        <v>0.957319497628907</v>
      </c>
      <c r="I31" s="26"/>
      <c r="J31" s="28"/>
      <c r="K31" s="26" t="n">
        <f aca="false">(B31-B30)</f>
        <v>-1.40000000000001</v>
      </c>
      <c r="L31" s="26" t="n">
        <f aca="false">(C31-C30)</f>
        <v>-1.1</v>
      </c>
      <c r="M31" s="26" t="n">
        <f aca="false">2*ASIN(SQRT(SIN(L31/($M$3*2))^2+COS(C30/$M$3)*COS(C31/$M$3)*SIN(K31/2/$M$3)^2))*$M$3</f>
        <v>1.73078662682484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9"/>
      <c r="Y31" s="26"/>
      <c r="Z31" s="26" t="n">
        <v>16.7</v>
      </c>
      <c r="AA31" s="30" t="n">
        <f aca="false">Z31-Z30</f>
        <v>-0.699999999999999</v>
      </c>
      <c r="AB31" s="26"/>
      <c r="AC31" s="30"/>
      <c r="AD31" s="26"/>
      <c r="AE31" s="26"/>
      <c r="AG31" s="0" t="n">
        <v>81.3</v>
      </c>
      <c r="AH31" s="0" t="n">
        <v>11.4</v>
      </c>
    </row>
    <row r="32" customFormat="false" ht="14.9" hidden="false" customHeight="true" outlineLevel="0" collapsed="false">
      <c r="A32" s="40" t="s">
        <v>85</v>
      </c>
      <c r="B32" s="19" t="n">
        <v>129.3</v>
      </c>
      <c r="C32" s="20" t="n">
        <v>33.4</v>
      </c>
      <c r="D32" s="20"/>
      <c r="E32" s="20"/>
      <c r="F32" s="20" t="n">
        <f aca="false">SIN(C32*$N$3)*COS(B32*$N$3)</f>
        <v>-0.348663970069001</v>
      </c>
      <c r="G32" s="20" t="n">
        <f aca="false">SIN(B32/$M$3)*SIN(C32/$M$3)</f>
        <v>0.425984131826533</v>
      </c>
      <c r="H32" s="20" t="n">
        <f aca="false">COS(C32*$N$3)</f>
        <v>0.834847863630085</v>
      </c>
      <c r="I32" s="0" t="n">
        <f aca="false">F32*F33+G32*G33+H32*H33</f>
        <v>0.999769514058364</v>
      </c>
      <c r="J32" s="21" t="n">
        <f aca="false">ACOS(I32)*$M$3</f>
        <v>1.23017867169738</v>
      </c>
      <c r="K32" s="20"/>
      <c r="L32" s="20"/>
      <c r="M32" s="20"/>
      <c r="N32" s="20"/>
      <c r="O32" s="31"/>
      <c r="P32" s="31"/>
      <c r="Q32" s="31"/>
      <c r="R32" s="31"/>
      <c r="S32" s="31"/>
      <c r="T32" s="31"/>
      <c r="U32" s="31"/>
      <c r="V32" s="31"/>
      <c r="W32" s="31"/>
      <c r="X32" s="32"/>
      <c r="Y32" s="31"/>
      <c r="Z32" s="31" t="n">
        <v>18.6</v>
      </c>
      <c r="AA32" s="33"/>
      <c r="AB32" s="31"/>
      <c r="AC32" s="33"/>
      <c r="AD32" s="31"/>
      <c r="AE32" s="36"/>
      <c r="AL32" s="0" t="s">
        <v>86</v>
      </c>
    </row>
    <row r="33" customFormat="false" ht="14.9" hidden="false" customHeight="false" outlineLevel="0" collapsed="false">
      <c r="A33" s="40"/>
      <c r="B33" s="34" t="n">
        <v>129.8</v>
      </c>
      <c r="C33" s="26" t="n">
        <v>32.2</v>
      </c>
      <c r="D33" s="26"/>
      <c r="E33" s="26"/>
      <c r="F33" s="26" t="n">
        <f aca="false">SIN(C33*$N$3)*COS(B33*$N$3)</f>
        <v>-0.34109927153067</v>
      </c>
      <c r="G33" s="26" t="n">
        <f aca="false">SIN(B33/$M$3)*SIN(C33/$M$3)</f>
        <v>0.409400063484511</v>
      </c>
      <c r="H33" s="26" t="n">
        <f aca="false">COS(C33*$N$3)</f>
        <v>0.846193166469763</v>
      </c>
      <c r="J33" s="21"/>
      <c r="K33" s="26" t="n">
        <f aca="false">(B33-B32)</f>
        <v>0.5</v>
      </c>
      <c r="L33" s="26" t="n">
        <f aca="false">(C33-C32)</f>
        <v>-1.2</v>
      </c>
      <c r="M33" s="26" t="n">
        <f aca="false">2*ASIN(SQRT(SIN(L33/($M$3*2))^2+COS(C32/$M$3)*COS(C33/$M$3)*SIN(K33/2/$M$3)^2))*$M$3</f>
        <v>1.27146499074466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9"/>
      <c r="Y33" s="26"/>
      <c r="Z33" s="26" t="n">
        <v>17.2</v>
      </c>
      <c r="AA33" s="30" t="n">
        <f aca="false">Z33-Z32</f>
        <v>-1.4</v>
      </c>
      <c r="AB33" s="26" t="n">
        <v>33.3</v>
      </c>
      <c r="AC33" s="30"/>
      <c r="AD33" s="26"/>
      <c r="AE33" s="26"/>
      <c r="AI33" s="0" t="s">
        <v>87</v>
      </c>
    </row>
    <row r="34" customFormat="false" ht="14.9" hidden="false" customHeight="true" outlineLevel="0" collapsed="false">
      <c r="A34" s="40" t="s">
        <v>88</v>
      </c>
      <c r="B34" s="19" t="n">
        <v>109.7</v>
      </c>
      <c r="C34" s="20" t="n">
        <v>62.1</v>
      </c>
      <c r="D34" s="20"/>
      <c r="E34" s="20"/>
      <c r="F34" s="20" t="n">
        <f aca="false">SIN(C34*$N$3)*COS(B34*$N$3)</f>
        <v>-0.297913201444514</v>
      </c>
      <c r="G34" s="20" t="n">
        <f aca="false">SIN(B34/$M$3)*SIN(C34/$M$3)</f>
        <v>0.832039309351922</v>
      </c>
      <c r="H34" s="20" t="n">
        <f aca="false">COS(C34*$N$3)</f>
        <v>0.467929815355098</v>
      </c>
      <c r="I34" s="0" t="n">
        <f aca="false">F34*F35+G34*G35+H34*H35</f>
        <v>0.964792453455501</v>
      </c>
      <c r="J34" s="21" t="n">
        <f aca="false">ACOS(I34)*$M$3</f>
        <v>15.2488825969198</v>
      </c>
      <c r="K34" s="20"/>
      <c r="L34" s="20"/>
      <c r="M34" s="20"/>
      <c r="N34" s="20"/>
      <c r="O34" s="31"/>
      <c r="P34" s="31"/>
      <c r="Q34" s="31"/>
      <c r="R34" s="31"/>
      <c r="S34" s="31"/>
      <c r="T34" s="31"/>
      <c r="U34" s="31"/>
      <c r="V34" s="31"/>
      <c r="W34" s="31"/>
      <c r="X34" s="32"/>
      <c r="Y34" s="31"/>
      <c r="Z34" s="31" t="n">
        <v>16.45</v>
      </c>
      <c r="AA34" s="33"/>
      <c r="AB34" s="31"/>
      <c r="AC34" s="33"/>
      <c r="AD34" s="31"/>
      <c r="AE34" s="36"/>
      <c r="AL34" s="41" t="s">
        <v>89</v>
      </c>
    </row>
    <row r="35" customFormat="false" ht="14.9" hidden="false" customHeight="false" outlineLevel="0" collapsed="false">
      <c r="A35" s="40"/>
      <c r="B35" s="34" t="n">
        <v>117.9</v>
      </c>
      <c r="C35" s="26" t="n">
        <v>48.4</v>
      </c>
      <c r="D35" s="26"/>
      <c r="E35" s="26"/>
      <c r="F35" s="26" t="n">
        <f aca="false">SIN(C35*$N$3)*COS(B35*$N$3)</f>
        <v>-0.34991701973758</v>
      </c>
      <c r="G35" s="26" t="n">
        <f aca="false">SIN(B35/$M$3)*SIN(C35/$M$3)</f>
        <v>0.660878250884953</v>
      </c>
      <c r="H35" s="26" t="n">
        <f aca="false">COS(C35*$N$3)</f>
        <v>0.663926213374058</v>
      </c>
      <c r="I35" s="26"/>
      <c r="J35" s="2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9"/>
      <c r="Y35" s="26"/>
      <c r="Z35" s="26" t="n">
        <v>14.9</v>
      </c>
      <c r="AA35" s="30" t="n">
        <f aca="false">Z35-Z34</f>
        <v>-1.55</v>
      </c>
      <c r="AB35" s="26" t="n">
        <v>25</v>
      </c>
      <c r="AC35" s="30"/>
      <c r="AD35" s="26"/>
      <c r="AE35" s="26"/>
      <c r="AI35" s="0" t="s">
        <v>90</v>
      </c>
    </row>
    <row r="36" customFormat="false" ht="14.9" hidden="false" customHeight="false" outlineLevel="0" collapsed="false">
      <c r="A36" s="42" t="s">
        <v>91</v>
      </c>
      <c r="B36" s="43" t="n">
        <v>238</v>
      </c>
      <c r="C36" s="43" t="n">
        <v>12.4</v>
      </c>
      <c r="D36" s="43"/>
      <c r="E36" s="43"/>
      <c r="F36" s="43" t="n">
        <f aca="false">SIN(C36*$N$3)*COS(B36*$N$3)</f>
        <v>-0.113792387313623</v>
      </c>
      <c r="G36" s="43" t="n">
        <f aca="false">SIN(B36/$M$3)*SIN(C36/$M$3)</f>
        <v>-0.182105884636612</v>
      </c>
      <c r="H36" s="43" t="n">
        <f aca="false">COS(C36*$N$3)</f>
        <v>0.976672278387271</v>
      </c>
      <c r="I36" s="0" t="n">
        <f aca="false">F36*F37+G36*G37+H36*H37</f>
        <v>0.999121410272922</v>
      </c>
      <c r="J36" s="21" t="n">
        <f aca="false">ACOS(I36)*$M$3</f>
        <v>2.40194187465387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4"/>
      <c r="Y36" s="43"/>
      <c r="Z36" s="43" t="n">
        <v>14.9</v>
      </c>
      <c r="AA36" s="45"/>
      <c r="AB36" s="43" t="n">
        <v>27.2</v>
      </c>
      <c r="AC36" s="45"/>
      <c r="AD36" s="43"/>
      <c r="AE36" s="43" t="s">
        <v>81</v>
      </c>
      <c r="AL36" s="37" t="s">
        <v>92</v>
      </c>
    </row>
    <row r="37" customFormat="false" ht="14.9" hidden="false" customHeight="false" outlineLevel="0" collapsed="false">
      <c r="A37" s="42"/>
      <c r="B37" s="46" t="n">
        <v>237.5</v>
      </c>
      <c r="C37" s="46" t="n">
        <v>10</v>
      </c>
      <c r="D37" s="46"/>
      <c r="E37" s="46"/>
      <c r="F37" s="26" t="n">
        <f aca="false">SIN(C37*$N$3)*COS(B37*$N$3)</f>
        <v>-0.0933010984387353</v>
      </c>
      <c r="G37" s="26" t="n">
        <f aca="false">SIN(B37/$M$3)*SIN(C37/$M$3)</f>
        <v>-0.146453387017717</v>
      </c>
      <c r="H37" s="26" t="n">
        <f aca="false">COS(C37*$N$3)</f>
        <v>0.984807753046839</v>
      </c>
      <c r="I37" s="46"/>
      <c r="J37" s="47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8"/>
      <c r="Y37" s="46"/>
      <c r="Z37" s="46" t="n">
        <v>14.4</v>
      </c>
      <c r="AA37" s="30" t="n">
        <f aca="false">Z37-Z36</f>
        <v>-0.5</v>
      </c>
      <c r="AB37" s="46" t="n">
        <v>27.2</v>
      </c>
      <c r="AC37" s="30" t="n">
        <f aca="false">AB37-AB36</f>
        <v>0</v>
      </c>
      <c r="AD37" s="46"/>
      <c r="AE37" s="46"/>
      <c r="AI37" s="0" t="s">
        <v>93</v>
      </c>
    </row>
    <row r="39" customFormat="false" ht="15" hidden="false" customHeight="false" outlineLevel="0" collapsed="false">
      <c r="C39" s="39"/>
      <c r="D39" s="0" t="s">
        <v>94</v>
      </c>
    </row>
    <row r="40" customFormat="false" ht="15" hidden="false" customHeight="false" outlineLevel="0" collapsed="false">
      <c r="C40" s="49"/>
      <c r="D40" s="0" t="s">
        <v>95</v>
      </c>
    </row>
  </sheetData>
  <mergeCells count="32">
    <mergeCell ref="A1:A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hyperlinks>
    <hyperlink ref="AL34" r:id="rId1" location="/?sstr=3842925&amp;view=OPC" display="https://ssd.jpl.nasa.gov/tools/sbdb_lookup.html#/?sstr=3842925&amp;view=OPC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2023-05-02T15:20:39Z</dcterms:created>
  <dc:creator>Peter G. Brown</dc:creator>
  <dc:description/>
  <dc:language>en-CA</dc:language>
  <cp:lastModifiedBy/>
  <dcterms:modified xsi:type="dcterms:W3CDTF">2024-03-18T17:49:57Z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