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\Projects\Thesis\speed_radiant_difference\usg-ground-based-comparison\"/>
    </mc:Choice>
  </mc:AlternateContent>
  <xr:revisionPtr revIDLastSave="0" documentId="13_ncr:1_{F3010F67-5A9F-4366-82EB-3E177338660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" l="1"/>
  <c r="AF29" i="1"/>
  <c r="AF17" i="1"/>
  <c r="AH17" i="1" s="1"/>
  <c r="AF31" i="1"/>
  <c r="AF21" i="1"/>
  <c r="AF25" i="1"/>
  <c r="AF19" i="1"/>
  <c r="AF11" i="1"/>
  <c r="AF5" i="1"/>
  <c r="AC37" i="1"/>
  <c r="AA37" i="1"/>
  <c r="G37" i="1"/>
  <c r="G36" i="1"/>
  <c r="AA35" i="1"/>
  <c r="G34" i="1"/>
  <c r="AA33" i="1"/>
  <c r="L33" i="1"/>
  <c r="K33" i="1"/>
  <c r="AA31" i="1"/>
  <c r="L31" i="1"/>
  <c r="K31" i="1"/>
  <c r="G30" i="1"/>
  <c r="AC29" i="1"/>
  <c r="AA29" i="1"/>
  <c r="L29" i="1"/>
  <c r="K29" i="1"/>
  <c r="G29" i="1"/>
  <c r="AC27" i="1"/>
  <c r="AA27" i="1"/>
  <c r="L27" i="1"/>
  <c r="K27" i="1"/>
  <c r="G26" i="1"/>
  <c r="AC25" i="1"/>
  <c r="AA25" i="1"/>
  <c r="L25" i="1"/>
  <c r="K25" i="1"/>
  <c r="AC23" i="1"/>
  <c r="AA23" i="1"/>
  <c r="L23" i="1"/>
  <c r="K23" i="1"/>
  <c r="AC21" i="1"/>
  <c r="AA21" i="1"/>
  <c r="L21" i="1"/>
  <c r="K21" i="1"/>
  <c r="M21" i="1" s="1"/>
  <c r="AC19" i="1"/>
  <c r="AA19" i="1"/>
  <c r="L19" i="1"/>
  <c r="K19" i="1"/>
  <c r="AC17" i="1"/>
  <c r="AA17" i="1"/>
  <c r="L17" i="1"/>
  <c r="K17" i="1"/>
  <c r="AC15" i="1"/>
  <c r="AA15" i="1"/>
  <c r="L15" i="1"/>
  <c r="K15" i="1"/>
  <c r="G14" i="1"/>
  <c r="AC13" i="1"/>
  <c r="AA13" i="1"/>
  <c r="L13" i="1"/>
  <c r="M13" i="1" s="1"/>
  <c r="K13" i="1"/>
  <c r="G13" i="1"/>
  <c r="AC11" i="1"/>
  <c r="AA11" i="1"/>
  <c r="L11" i="1"/>
  <c r="K11" i="1"/>
  <c r="AC9" i="1"/>
  <c r="AA9" i="1"/>
  <c r="L9" i="1"/>
  <c r="K9" i="1"/>
  <c r="G9" i="1"/>
  <c r="AC7" i="1"/>
  <c r="AA7" i="1"/>
  <c r="L7" i="1"/>
  <c r="K7" i="1"/>
  <c r="G7" i="1"/>
  <c r="AC5" i="1"/>
  <c r="AA5" i="1"/>
  <c r="L5" i="1"/>
  <c r="C4" i="1"/>
  <c r="B4" i="1"/>
  <c r="M3" i="1"/>
  <c r="G31" i="1" s="1"/>
  <c r="M31" i="1" l="1"/>
  <c r="M29" i="1"/>
  <c r="M9" i="1"/>
  <c r="M25" i="1"/>
  <c r="M15" i="1"/>
  <c r="M7" i="1"/>
  <c r="M23" i="1"/>
  <c r="G4" i="1"/>
  <c r="M11" i="1"/>
  <c r="K5" i="1"/>
  <c r="M5" i="1" s="1"/>
  <c r="G19" i="1"/>
  <c r="M33" i="1"/>
  <c r="G24" i="1"/>
  <c r="G17" i="1"/>
  <c r="M19" i="1"/>
  <c r="G27" i="1"/>
  <c r="G5" i="1"/>
  <c r="G32" i="1"/>
  <c r="G15" i="1"/>
  <c r="G35" i="1"/>
  <c r="G12" i="1"/>
  <c r="G22" i="1"/>
  <c r="G10" i="1"/>
  <c r="M17" i="1"/>
  <c r="G25" i="1"/>
  <c r="G20" i="1"/>
  <c r="M27" i="1"/>
  <c r="G11" i="1"/>
  <c r="G28" i="1"/>
  <c r="G8" i="1"/>
  <c r="G23" i="1"/>
  <c r="G33" i="1"/>
  <c r="N3" i="1"/>
  <c r="G18" i="1"/>
  <c r="G6" i="1"/>
  <c r="G21" i="1"/>
  <c r="G16" i="1"/>
  <c r="H37" i="1" l="1"/>
  <c r="F34" i="1"/>
  <c r="F29" i="1"/>
  <c r="H26" i="1"/>
  <c r="F37" i="1"/>
  <c r="F26" i="1"/>
  <c r="H21" i="1"/>
  <c r="F9" i="1"/>
  <c r="H6" i="1"/>
  <c r="F16" i="1"/>
  <c r="F28" i="1"/>
  <c r="F11" i="1"/>
  <c r="H13" i="1"/>
  <c r="F31" i="1"/>
  <c r="H28" i="1"/>
  <c r="H11" i="1"/>
  <c r="H33" i="1"/>
  <c r="H23" i="1"/>
  <c r="H8" i="1"/>
  <c r="F18" i="1"/>
  <c r="F8" i="1"/>
  <c r="F7" i="1"/>
  <c r="F14" i="1"/>
  <c r="H9" i="1"/>
  <c r="H4" i="1"/>
  <c r="H31" i="1"/>
  <c r="F21" i="1"/>
  <c r="H18" i="1"/>
  <c r="F6" i="1"/>
  <c r="H30" i="1"/>
  <c r="F33" i="1"/>
  <c r="F23" i="1"/>
  <c r="H20" i="1"/>
  <c r="H36" i="1"/>
  <c r="F36" i="1"/>
  <c r="F30" i="1"/>
  <c r="H25" i="1"/>
  <c r="F13" i="1"/>
  <c r="H10" i="1"/>
  <c r="F5" i="1"/>
  <c r="H35" i="1"/>
  <c r="F20" i="1"/>
  <c r="H15" i="1"/>
  <c r="H12" i="1"/>
  <c r="F22" i="1"/>
  <c r="H17" i="1"/>
  <c r="H32" i="1"/>
  <c r="F25" i="1"/>
  <c r="H22" i="1"/>
  <c r="F10" i="1"/>
  <c r="H5" i="1"/>
  <c r="H27" i="1"/>
  <c r="F15" i="1"/>
  <c r="F32" i="1"/>
  <c r="F35" i="1"/>
  <c r="F19" i="1"/>
  <c r="H16" i="1"/>
  <c r="F27" i="1"/>
  <c r="H24" i="1"/>
  <c r="F12" i="1"/>
  <c r="H7" i="1"/>
  <c r="H34" i="1"/>
  <c r="H29" i="1"/>
  <c r="F17" i="1"/>
  <c r="H14" i="1"/>
  <c r="F24" i="1"/>
  <c r="H19" i="1"/>
  <c r="F4" i="1"/>
  <c r="I26" i="1" l="1"/>
  <c r="J26" i="1" s="1"/>
  <c r="I6" i="1"/>
  <c r="J6" i="1" s="1"/>
  <c r="I32" i="1"/>
  <c r="J32" i="1" s="1"/>
  <c r="I22" i="1"/>
  <c r="J22" i="1" s="1"/>
  <c r="I12" i="1"/>
  <c r="J12" i="1" s="1"/>
  <c r="I16" i="1"/>
  <c r="J16" i="1" s="1"/>
  <c r="I14" i="1"/>
  <c r="J14" i="1" s="1"/>
  <c r="I36" i="1"/>
  <c r="J36" i="1" s="1"/>
  <c r="I28" i="1"/>
  <c r="J28" i="1" s="1"/>
  <c r="I8" i="1"/>
  <c r="J8" i="1" s="1"/>
  <c r="I30" i="1"/>
  <c r="J30" i="1" s="1"/>
  <c r="I24" i="1"/>
  <c r="J24" i="1" s="1"/>
  <c r="I34" i="1"/>
  <c r="J34" i="1" s="1"/>
  <c r="I20" i="1"/>
  <c r="J20" i="1" s="1"/>
  <c r="I4" i="1"/>
  <c r="J4" i="1" s="1"/>
  <c r="I18" i="1"/>
  <c r="J18" i="1" s="1"/>
  <c r="I10" i="1"/>
  <c r="J10" i="1" s="1"/>
</calcChain>
</file>

<file path=xl/sharedStrings.xml><?xml version="1.0" encoding="utf-8"?>
<sst xmlns="http://schemas.openxmlformats.org/spreadsheetml/2006/main" count="125" uniqueCount="103">
  <si>
    <t>Event</t>
  </si>
  <si>
    <t>Radiant Azimuth</t>
  </si>
  <si>
    <t>Radiant Zenith Angle</t>
  </si>
  <si>
    <t>RA_App</t>
  </si>
  <si>
    <t>Dec_app</t>
  </si>
  <si>
    <t>x</t>
  </si>
  <si>
    <t>y</t>
  </si>
  <si>
    <t>z</t>
  </si>
  <si>
    <t>dot</t>
  </si>
  <si>
    <t>Radiant Diff</t>
  </si>
  <si>
    <t>Delta_Rad</t>
  </si>
  <si>
    <t>a</t>
  </si>
  <si>
    <t>e</t>
  </si>
  <si>
    <t>inc</t>
  </si>
  <si>
    <t>W</t>
  </si>
  <si>
    <t>w</t>
  </si>
  <si>
    <t>q</t>
  </si>
  <si>
    <t>Q</t>
  </si>
  <si>
    <t>Tj</t>
  </si>
  <si>
    <t>En</t>
  </si>
  <si>
    <t>Mass</t>
  </si>
  <si>
    <t>D</t>
  </si>
  <si>
    <t>Speed</t>
  </si>
  <si>
    <r>
      <rPr>
        <b/>
        <sz val="11"/>
        <color rgb="FFFFFFFF"/>
        <rFont val="Symbol"/>
        <family val="1"/>
        <charset val="2"/>
      </rPr>
      <t>D</t>
    </r>
    <r>
      <rPr>
        <b/>
        <sz val="11"/>
        <color rgb="FFFFFFFF"/>
        <rFont val="Calibri"/>
        <family val="2"/>
        <charset val="1"/>
      </rPr>
      <t>V</t>
    </r>
  </si>
  <si>
    <t xml:space="preserve">Height </t>
  </si>
  <si>
    <t>DH</t>
  </si>
  <si>
    <t>Fireball</t>
  </si>
  <si>
    <t>Meteorite</t>
  </si>
  <si>
    <t>Length (km)</t>
  </si>
  <si>
    <t>Begin Height (km)</t>
  </si>
  <si>
    <t>End Height (km)</t>
  </si>
  <si>
    <t>Ref</t>
  </si>
  <si>
    <t>Delta Az</t>
  </si>
  <si>
    <t>Delta Z</t>
  </si>
  <si>
    <t>Type</t>
  </si>
  <si>
    <t>Units</t>
  </si>
  <si>
    <t>degs</t>
  </si>
  <si>
    <t>rtd=</t>
  </si>
  <si>
    <t>(AU)</t>
  </si>
  <si>
    <t>(kT)</t>
  </si>
  <si>
    <t>(kg)</t>
  </si>
  <si>
    <t>(m)</t>
  </si>
  <si>
    <t>(km/s)</t>
  </si>
  <si>
    <t>(km)</t>
  </si>
  <si>
    <t>(PE)</t>
  </si>
  <si>
    <t xml:space="preserve">Almahata Sitta </t>
  </si>
  <si>
    <t>IIIa</t>
  </si>
  <si>
    <t>Euc/Mx</t>
  </si>
  <si>
    <t>Jen et al (2009)</t>
  </si>
  <si>
    <t xml:space="preserve">Buzzard Coulee </t>
  </si>
  <si>
    <t>I</t>
  </si>
  <si>
    <t>H4</t>
  </si>
  <si>
    <t>Milley et al (2010)</t>
  </si>
  <si>
    <t xml:space="preserve">Chelyabinsk </t>
  </si>
  <si>
    <t>II</t>
  </si>
  <si>
    <t>LL5</t>
  </si>
  <si>
    <t>Borovicka et al (2013)</t>
  </si>
  <si>
    <t xml:space="preserve">Kosice </t>
  </si>
  <si>
    <t>H5</t>
  </si>
  <si>
    <t>Borovicka et al. 2013. The Kosice meteorite fall: Atmospheric trajectory, fragmentation, and orbit, Meteoritics and Planetary Science, 48, 1757-1779.</t>
  </si>
  <si>
    <t>check begin height w/ lightcurve analysis</t>
  </si>
  <si>
    <t xml:space="preserve">Motopi Pan </t>
  </si>
  <si>
    <t>How</t>
  </si>
  <si>
    <r>
      <rPr>
        <sz val="11"/>
        <color rgb="FF000000"/>
        <rFont val="Calibri"/>
        <family val="2"/>
        <charset val="1"/>
      </rPr>
      <t xml:space="preserve">Jenniskens P. et al. 2021. The impact and recovery of asteroid 2018 LA. </t>
    </r>
    <r>
      <rPr>
        <i/>
        <sz val="11"/>
        <color rgb="FF000000"/>
        <rFont val="Calibri"/>
        <family val="2"/>
        <charset val="1"/>
      </rPr>
      <t>Meteoritics &amp; Planetary Science</t>
    </r>
    <r>
      <rPr>
        <sz val="11"/>
        <color rgb="FF000000"/>
        <rFont val="Calibri"/>
        <family val="2"/>
        <charset val="1"/>
      </rPr>
      <t xml:space="preserve"> 56:844–893. https://onlinelibrary.wiley.com/doi/10.1111/maps.13653.</t>
    </r>
  </si>
  <si>
    <t>Crawford Bay</t>
  </si>
  <si>
    <t>Hildebrand et al (2018)</t>
  </si>
  <si>
    <t>Baird Bay</t>
  </si>
  <si>
    <r>
      <rPr>
        <sz val="11"/>
        <color rgb="FF000000"/>
        <rFont val="Calibri"/>
        <family val="2"/>
        <charset val="1"/>
      </rPr>
      <t xml:space="preserve">Devillepoix H. A. R., Bland P. A., Sansom E. K., Towner M. C., Cupák M., Howie R. M., Hartig B. A. D., Jansen-Sturgeon T., and Cox M. A. 2019. Observation of metre-scale impactors by the Desert Fireball Network. </t>
    </r>
    <r>
      <rPr>
        <i/>
        <sz val="11"/>
        <color rgb="FF000000"/>
        <rFont val="Calibri"/>
        <family val="2"/>
        <charset val="1"/>
      </rPr>
      <t>Monthly Notices of the Royal Astronomical Society</t>
    </r>
    <r>
      <rPr>
        <sz val="11"/>
        <color rgb="FF000000"/>
        <rFont val="Calibri"/>
        <family val="2"/>
        <charset val="1"/>
      </rPr>
      <t xml:space="preserve"> 483:5166–5178. http://arxiv.org/abs/1808.09195.</t>
    </r>
  </si>
  <si>
    <t>Kalabity</t>
  </si>
  <si>
    <t>Romania</t>
  </si>
  <si>
    <r>
      <rPr>
        <sz val="11"/>
        <color rgb="FF000000"/>
        <rFont val="Calibri"/>
        <family val="2"/>
        <charset val="1"/>
      </rPr>
      <t xml:space="preserve">Borovička J., Spurný P., Grigore V. I., and Svoreň J. 2017. The January 7, 2015, superbolide over Romania and structural diversity of meter-sized asteroids. </t>
    </r>
    <r>
      <rPr>
        <i/>
        <sz val="11"/>
        <color rgb="FF000000"/>
        <rFont val="Calibri"/>
        <family val="2"/>
        <charset val="1"/>
      </rPr>
      <t>Planetary and Space Science</t>
    </r>
    <r>
      <rPr>
        <sz val="11"/>
        <color rgb="FF000000"/>
        <rFont val="Calibri"/>
        <family val="2"/>
        <charset val="1"/>
      </rPr>
      <t xml:space="preserve"> 143:147–158.</t>
    </r>
  </si>
  <si>
    <t>Flensburg</t>
  </si>
  <si>
    <t>C1-ung</t>
  </si>
  <si>
    <r>
      <rPr>
        <sz val="11"/>
        <color rgb="FF000000"/>
        <rFont val="Calibri"/>
        <family val="2"/>
        <charset val="1"/>
      </rPr>
      <t xml:space="preserve">Borovička J., Bettonvil F., Baumgarten G., Strunk J., Hankey M., Spurný P., and Heinlein D. 2021. Trajectory and orbit of the unique carbonaceous meteorite Flensburg. </t>
    </r>
    <r>
      <rPr>
        <i/>
        <sz val="11"/>
        <color rgb="FF000000"/>
        <rFont val="Calibri"/>
        <family val="2"/>
        <charset val="1"/>
      </rPr>
      <t>Meteoritics &amp; Planetary Science</t>
    </r>
    <r>
      <rPr>
        <sz val="11"/>
        <color rgb="FF000000"/>
        <rFont val="Calibri"/>
        <family val="2"/>
        <charset val="1"/>
      </rPr>
      <t xml:space="preserve"> 56:425–439. https://onlinelibrary.wiley.com/doi/10.1111/maps.13628.</t>
    </r>
  </si>
  <si>
    <t>Novo Mesto</t>
  </si>
  <si>
    <t>L5</t>
  </si>
  <si>
    <t>Vida, D., Šegon, D., Šegon, M., Atanackov, J., Ambrožič, B., McFadden, L., Ferrière, L., Kac, J., Kladnik, G., Živčić, M., Merlak, A., Skokić, I., Pavletić, L., Vinčić, G., Ćiković, I., Perkó, Z., Ilari, M., Malarić, M., and Macuka, I.: Novo Mesto meteorite fall – trajectory, orbit, and fragmentation analysis from optical observations, European Planetary Science Congress 2021, online, 13–24 Sep 2021, EPSC2021-139, https://doi.org/10.5194/epsc2021-139, 2021.</t>
  </si>
  <si>
    <t>Sariçiçek</t>
  </si>
  <si>
    <r>
      <rPr>
        <sz val="11"/>
        <color rgb="FF000000"/>
        <rFont val="Calibri"/>
        <family val="2"/>
        <charset val="1"/>
      </rPr>
      <t xml:space="preserve">Unsalan O. et al. 2019. The Sariçiçek howardite fall in Turkey: Source crater of &lt;scp&gt;HED&lt;/scp&gt; meteorites on Vesta and impact risk of Vestoids. </t>
    </r>
    <r>
      <rPr>
        <i/>
        <sz val="11"/>
        <color rgb="FF000000"/>
        <rFont val="Calibri"/>
        <family val="2"/>
        <charset val="1"/>
      </rPr>
      <t>Meteoritics &amp; Planetary Science</t>
    </r>
    <r>
      <rPr>
        <sz val="11"/>
        <color rgb="FF000000"/>
        <rFont val="Calibri"/>
        <family val="2"/>
        <charset val="1"/>
      </rPr>
      <t xml:space="preserve"> 54:953–1008. https://onlinelibrary.wiley.com/doi/abs/10.1111/maps.13258.</t>
    </r>
  </si>
  <si>
    <t>Vinales</t>
  </si>
  <si>
    <t>L6</t>
  </si>
  <si>
    <r>
      <rPr>
        <sz val="11"/>
        <color rgb="FF000000"/>
        <rFont val="Calibri"/>
        <family val="2"/>
        <charset val="1"/>
      </rPr>
      <t xml:space="preserve">Ceballos Izquierdo Y., Orihuela J., Silva G. G., Zurita M., Mourão D. C., and Delgado Manzor H. 2021. Meteorite and bright fireball records from Cuba. </t>
    </r>
    <r>
      <rPr>
        <i/>
        <sz val="11"/>
        <color rgb="FF000000"/>
        <rFont val="Calibri"/>
        <family val="2"/>
        <charset val="1"/>
      </rPr>
      <t>Mineralia Slovaca</t>
    </r>
    <r>
      <rPr>
        <sz val="11"/>
        <color rgb="FF000000"/>
        <rFont val="Calibri"/>
        <family val="2"/>
        <charset val="1"/>
      </rPr>
      <t xml:space="preserve"> 53:131–145. https://meteorites.asu.edu/collection/specimen-cata-.</t>
    </r>
  </si>
  <si>
    <t>Froslunda</t>
  </si>
  <si>
    <t>http://norskmeteornettverk.no/meteor/20201107/212700/</t>
  </si>
  <si>
    <t>2022 EB5</t>
  </si>
  <si>
    <t>https://ssd.jpl.nasa.gov/tools/sbdb_lookup.html#/?sstr=54254967</t>
  </si>
  <si>
    <t>nothing</t>
  </si>
  <si>
    <t>2019MO</t>
  </si>
  <si>
    <t>https://ssd.jpl.nasa.gov/tools/sbdb_lookup.html#/?sstr=3842925&amp;view=OPC</t>
  </si>
  <si>
    <t>Ozerski</t>
  </si>
  <si>
    <r>
      <rPr>
        <sz val="11"/>
        <color rgb="FF000000"/>
        <rFont val="Calibri"/>
        <family val="2"/>
        <charset val="1"/>
      </rPr>
      <t xml:space="preserve">Kartashova A., Golubaev A., Mozgova A., Chuvashov I., Bolgova G., Glazachev D., and Efremov V. 2020. Investigation of the Ozerki meteoroid parameters. </t>
    </r>
    <r>
      <rPr>
        <i/>
        <sz val="11"/>
        <color rgb="FF000000"/>
        <rFont val="Calibri"/>
        <family val="2"/>
        <charset val="1"/>
      </rPr>
      <t>Planetary and Space Science</t>
    </r>
    <r>
      <rPr>
        <sz val="11"/>
        <color rgb="FF000000"/>
        <rFont val="Calibri"/>
        <family val="2"/>
        <charset val="1"/>
      </rPr>
      <t xml:space="preserve"> 193:105034. https://doi.org/10.1016/j.pss.2020.105034.</t>
    </r>
  </si>
  <si>
    <t>USG values</t>
  </si>
  <si>
    <t>Ground-based values</t>
  </si>
  <si>
    <t>imputed length</t>
  </si>
  <si>
    <t>extrapolated end height from fragmentation height and total length</t>
  </si>
  <si>
    <t>imputed total length from fragmentation height + last estimated speed until final observation</t>
  </si>
  <si>
    <t>length, begin and end heights all imputed</t>
  </si>
  <si>
    <t>use speed and LC duration to determine length, use peak brightness height, zenith angle and length to determine begin/end heights; all parameters from paper</t>
  </si>
  <si>
    <t>length, begin and end heights all imputed from GLM LC</t>
  </si>
  <si>
    <t>use speed and GLM LC duration to determine length, use peak brightness height, zenith angle and length to determine begin/end heights; all parameters from ground-based</t>
  </si>
  <si>
    <t>changed from original value of 249.5 assuming sign error typo in CNEOS data (vz = 3.8 -&gt; -3.8)</t>
  </si>
  <si>
    <t>changed from original value of 48.8 assuming sign error typo in CNEOS data (vx = 10.3 -&gt; -10.3, vy = -12.2 -&gt; 12.2)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</si>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</sst>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FFFF"/>
      <name val="Symbol"/>
      <family val="1"/>
      <charset val="2"/>
    </font>
    <font>
      <sz val="11"/>
      <name val="Calibri"/>
      <family val="2"/>
      <charset val="1"/>
    </font>
    <font>
      <b/>
      <sz val="8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9DC3E6"/>
      </patternFill>
    </fill>
    <fill>
      <patternFill patternType="solid">
        <fgColor rgb="FF92D050"/>
        <bgColor rgb="FF9DC3E6"/>
      </patternFill>
    </fill>
    <fill>
      <patternFill patternType="solid">
        <fgColor rgb="FF5B9BD5"/>
        <bgColor rgb="FF8FAADC"/>
      </patternFill>
    </fill>
    <fill>
      <patternFill patternType="solid">
        <fgColor rgb="FFFFC000"/>
        <bgColor rgb="FFFF9900"/>
      </patternFill>
    </fill>
    <fill>
      <patternFill patternType="solid">
        <fgColor rgb="FF9DC3E6"/>
        <bgColor rgb="FFB4C7E7"/>
      </patternFill>
    </fill>
    <fill>
      <patternFill patternType="solid">
        <fgColor rgb="FF8FAADC"/>
        <bgColor rgb="FF9DC3E6"/>
      </patternFill>
    </fill>
  </fills>
  <borders count="1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thick">
        <color auto="1"/>
      </bottom>
      <diagonal/>
    </border>
    <border>
      <left style="medium">
        <color rgb="FFFFFFFF"/>
      </left>
      <right style="medium">
        <color rgb="FFFFFFFF"/>
      </right>
      <top/>
      <bottom style="thick">
        <color auto="1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ck">
        <color auto="1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ck">
        <color auto="1"/>
      </left>
      <right style="medium">
        <color rgb="FFFFFFFF"/>
      </right>
      <top style="medium">
        <color rgb="FFFFFFFF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auto="1"/>
      </top>
      <bottom style="medium">
        <color rgb="FFFFFFFF"/>
      </bottom>
      <diagonal/>
    </border>
    <border>
      <left style="medium">
        <color rgb="FFFFFFFF"/>
      </left>
      <right style="thick">
        <color auto="1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6" fillId="0" borderId="0" applyBorder="0" applyProtection="0"/>
    <xf numFmtId="0" fontId="7" fillId="2" borderId="0" applyBorder="0" applyProtection="0"/>
  </cellStyleXfs>
  <cellXfs count="49">
    <xf numFmtId="0" fontId="0" fillId="0" borderId="0" xfId="0"/>
    <xf numFmtId="0" fontId="1" fillId="4" borderId="2" xfId="0" applyFont="1" applyFill="1" applyBorder="1" applyAlignment="1">
      <alignment horizontal="left" vertical="center" wrapText="1" readingOrder="1"/>
    </xf>
    <xf numFmtId="0" fontId="1" fillId="4" borderId="2" xfId="0" applyFont="1" applyFill="1" applyBorder="1" applyAlignment="1">
      <alignment horizontal="center" vertical="center" wrapText="1" readingOrder="1"/>
    </xf>
    <xf numFmtId="0" fontId="0" fillId="3" borderId="0" xfId="0" applyFill="1"/>
    <xf numFmtId="0" fontId="1" fillId="3" borderId="2" xfId="0" applyFont="1" applyFill="1" applyBorder="1" applyAlignment="1">
      <alignment horizontal="center" vertical="center" wrapText="1" readingOrder="1"/>
    </xf>
    <xf numFmtId="0" fontId="1" fillId="4" borderId="3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>
      <alignment horizontal="center" vertical="center" wrapText="1" readingOrder="1"/>
    </xf>
    <xf numFmtId="0" fontId="1" fillId="4" borderId="3" xfId="0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wrapText="1"/>
    </xf>
    <xf numFmtId="0" fontId="7" fillId="2" borderId="5" xfId="2" applyBorder="1" applyAlignment="1" applyProtection="1">
      <alignment wrapText="1"/>
    </xf>
    <xf numFmtId="0" fontId="7" fillId="3" borderId="5" xfId="2" applyFill="1" applyBorder="1" applyAlignment="1" applyProtection="1">
      <alignment wrapText="1"/>
    </xf>
    <xf numFmtId="0" fontId="7" fillId="2" borderId="6" xfId="2" applyBorder="1" applyAlignment="1" applyProtection="1">
      <alignment horizontal="center" vertical="center" wrapText="1" readingOrder="1"/>
    </xf>
    <xf numFmtId="0" fontId="7" fillId="2" borderId="6" xfId="2" applyBorder="1" applyAlignment="1" applyProtection="1">
      <alignment wrapText="1"/>
    </xf>
    <xf numFmtId="0" fontId="7" fillId="2" borderId="6" xfId="2" applyBorder="1" applyAlignment="1" applyProtection="1">
      <alignment horizontal="left" vertical="center" wrapText="1" readingOrder="1"/>
    </xf>
    <xf numFmtId="0" fontId="7" fillId="3" borderId="6" xfId="2" applyFill="1" applyBorder="1" applyAlignment="1" applyProtection="1">
      <alignment horizontal="left" vertical="center" wrapText="1" readingOrder="1"/>
    </xf>
    <xf numFmtId="0" fontId="7" fillId="2" borderId="8" xfId="2" applyBorder="1" applyAlignment="1" applyProtection="1">
      <alignment horizontal="left" vertical="center" wrapText="1" readingOrder="1"/>
    </xf>
    <xf numFmtId="0" fontId="7" fillId="2" borderId="9" xfId="2" applyBorder="1" applyAlignment="1" applyProtection="1">
      <alignment horizontal="left" vertical="center" wrapText="1" readingOrder="1"/>
    </xf>
    <xf numFmtId="164" fontId="0" fillId="3" borderId="0" xfId="0" applyNumberFormat="1" applyFill="1"/>
    <xf numFmtId="11" fontId="7" fillId="2" borderId="9" xfId="2" applyNumberFormat="1" applyBorder="1" applyAlignment="1" applyProtection="1">
      <alignment horizontal="left" vertical="center" wrapText="1" readingOrder="1"/>
    </xf>
    <xf numFmtId="0" fontId="7" fillId="3" borderId="9" xfId="2" applyFill="1" applyBorder="1" applyAlignment="1" applyProtection="1">
      <alignment horizontal="left" vertical="center" wrapText="1" readingOrder="1"/>
    </xf>
    <xf numFmtId="0" fontId="7" fillId="5" borderId="10" xfId="2" applyFill="1" applyBorder="1" applyAlignment="1" applyProtection="1">
      <alignment horizontal="left" vertical="center" wrapText="1" readingOrder="1"/>
    </xf>
    <xf numFmtId="0" fontId="7" fillId="5" borderId="11" xfId="2" applyFill="1" applyBorder="1" applyAlignment="1" applyProtection="1">
      <alignment horizontal="left" vertical="center" wrapText="1" readingOrder="1"/>
    </xf>
    <xf numFmtId="0" fontId="7" fillId="5" borderId="9" xfId="2" applyFill="1" applyBorder="1" applyAlignment="1" applyProtection="1">
      <alignment horizontal="left" vertical="center" wrapText="1" readingOrder="1"/>
    </xf>
    <xf numFmtId="164" fontId="7" fillId="3" borderId="11" xfId="2" applyNumberFormat="1" applyFill="1" applyBorder="1" applyAlignment="1" applyProtection="1">
      <alignment horizontal="left" vertical="center" wrapText="1" readingOrder="1"/>
    </xf>
    <xf numFmtId="11" fontId="7" fillId="5" borderId="11" xfId="2" applyNumberFormat="1" applyFill="1" applyBorder="1" applyAlignment="1" applyProtection="1">
      <alignment horizontal="left" vertical="center" wrapText="1" readingOrder="1"/>
    </xf>
    <xf numFmtId="0" fontId="7" fillId="3" borderId="11" xfId="2" applyFill="1" applyBorder="1" applyAlignment="1" applyProtection="1">
      <alignment horizontal="left" vertical="center" wrapText="1" readingOrder="1"/>
    </xf>
    <xf numFmtId="0" fontId="7" fillId="2" borderId="12" xfId="2" applyBorder="1" applyAlignment="1" applyProtection="1">
      <alignment horizontal="left" vertical="center" wrapText="1" readingOrder="1"/>
    </xf>
    <xf numFmtId="11" fontId="7" fillId="2" borderId="12" xfId="2" applyNumberFormat="1" applyBorder="1" applyAlignment="1" applyProtection="1">
      <alignment horizontal="left" vertical="center" wrapText="1" readingOrder="1"/>
    </xf>
    <xf numFmtId="0" fontId="7" fillId="3" borderId="12" xfId="2" applyFill="1" applyBorder="1" applyAlignment="1" applyProtection="1">
      <alignment horizontal="left" vertical="center" wrapText="1" readingOrder="1"/>
    </xf>
    <xf numFmtId="0" fontId="0" fillId="0" borderId="0" xfId="0" applyAlignment="1">
      <alignment horizontal="left" indent="3"/>
    </xf>
    <xf numFmtId="0" fontId="0" fillId="0" borderId="0" xfId="0" applyAlignment="1">
      <alignment horizontal="left" vertical="center" indent="3"/>
    </xf>
    <xf numFmtId="0" fontId="7" fillId="2" borderId="11" xfId="2" applyBorder="1" applyAlignment="1" applyProtection="1">
      <alignment horizontal="left" vertical="center" wrapText="1" readingOrder="1"/>
    </xf>
    <xf numFmtId="0" fontId="0" fillId="5" borderId="0" xfId="0" applyFill="1"/>
    <xf numFmtId="0" fontId="6" fillId="0" borderId="0" xfId="1" applyBorder="1" applyProtection="1"/>
    <xf numFmtId="0" fontId="4" fillId="4" borderId="0" xfId="0" applyFont="1" applyFill="1" applyAlignment="1">
      <alignment horizontal="left" vertical="center" wrapText="1" readingOrder="1"/>
    </xf>
    <xf numFmtId="0" fontId="7" fillId="6" borderId="0" xfId="2" applyFill="1" applyBorder="1" applyAlignment="1" applyProtection="1">
      <alignment horizontal="left" vertical="center" wrapText="1" readingOrder="1"/>
    </xf>
    <xf numFmtId="11" fontId="7" fillId="6" borderId="0" xfId="2" applyNumberFormat="1" applyFill="1" applyBorder="1" applyAlignment="1" applyProtection="1">
      <alignment horizontal="left" vertical="center" wrapText="1" readingOrder="1"/>
    </xf>
    <xf numFmtId="0" fontId="7" fillId="3" borderId="0" xfId="2" applyFill="1" applyBorder="1" applyAlignment="1" applyProtection="1">
      <alignment horizontal="left" vertical="center" wrapText="1" readingOrder="1"/>
    </xf>
    <xf numFmtId="0" fontId="7" fillId="5" borderId="0" xfId="2" applyFill="1" applyBorder="1" applyAlignment="1" applyProtection="1">
      <alignment horizontal="left" vertical="center" wrapText="1" readingOrder="1"/>
    </xf>
    <xf numFmtId="164" fontId="7" fillId="3" borderId="0" xfId="2" applyNumberFormat="1" applyFill="1" applyBorder="1" applyAlignment="1" applyProtection="1">
      <alignment horizontal="left" vertical="center" wrapText="1" readingOrder="1"/>
    </xf>
    <xf numFmtId="11" fontId="7" fillId="5" borderId="0" xfId="2" applyNumberFormat="1" applyFill="1" applyBorder="1" applyAlignment="1" applyProtection="1">
      <alignment horizontal="left" vertical="center" wrapText="1" readingOrder="1"/>
    </xf>
    <xf numFmtId="0" fontId="0" fillId="7" borderId="0" xfId="0" applyFill="1"/>
    <xf numFmtId="0" fontId="4" fillId="4" borderId="13" xfId="0" applyFont="1" applyFill="1" applyBorder="1" applyAlignment="1">
      <alignment horizontal="left" vertical="center" wrapText="1" readingOrder="1"/>
    </xf>
    <xf numFmtId="0" fontId="4" fillId="4" borderId="7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1" fillId="4" borderId="2" xfId="0" applyFont="1" applyFill="1" applyBorder="1" applyAlignment="1">
      <alignment horizontal="left" vertical="center" wrapText="1" readingOrder="1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4" borderId="2" xfId="0" applyFont="1" applyFill="1" applyBorder="1" applyAlignment="1">
      <alignment horizontal="center" vertical="center" wrapText="1" readingOrder="1"/>
    </xf>
    <xf numFmtId="0" fontId="1" fillId="4" borderId="1" xfId="0" applyFont="1" applyFill="1" applyBorder="1" applyAlignment="1">
      <alignment horizontal="center" vertical="center" wrapText="1" readingOrder="1"/>
    </xf>
  </cellXfs>
  <cellStyles count="3">
    <cellStyle name="Excel Built-in 40% - Accent1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sd.jpl.nasa.gov/tools/sbdb_look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zoomScaleNormal="100" workbookViewId="0">
      <pane ySplit="1" topLeftCell="A2" activePane="bottomLeft" state="frozen"/>
      <selection pane="bottomLeft" activeCell="AI22" sqref="AI22"/>
    </sheetView>
  </sheetViews>
  <sheetFormatPr defaultColWidth="8.5703125" defaultRowHeight="15" x14ac:dyDescent="0.25"/>
  <cols>
    <col min="1" max="1" width="24" customWidth="1"/>
    <col min="2" max="2" width="11.5703125" customWidth="1"/>
    <col min="3" max="3" width="12.42578125" customWidth="1"/>
    <col min="4" max="5" width="9.140625" hidden="1" customWidth="1"/>
    <col min="6" max="6" width="11.5703125" hidden="1" customWidth="1"/>
    <col min="7" max="7" width="12.28515625" hidden="1" customWidth="1"/>
    <col min="8" max="8" width="11.5703125" hidden="1" customWidth="1"/>
    <col min="9" max="9" width="9.140625" hidden="1" customWidth="1"/>
    <col min="10" max="10" width="9.140625" style="3" customWidth="1"/>
    <col min="11" max="12" width="12.28515625" hidden="1" customWidth="1"/>
    <col min="13" max="14" width="11.5703125" hidden="1" customWidth="1"/>
    <col min="15" max="25" width="9.140625" hidden="1" customWidth="1"/>
    <col min="27" max="27" width="9.140625" style="3" customWidth="1"/>
    <col min="29" max="29" width="9.140625" style="3" customWidth="1"/>
    <col min="30" max="30" width="9.140625" hidden="1" customWidth="1"/>
    <col min="31" max="31" width="11.7109375" customWidth="1"/>
    <col min="35" max="35" width="67.7109375" customWidth="1"/>
  </cols>
  <sheetData>
    <row r="1" spans="1:38" ht="41.85" customHeight="1" x14ac:dyDescent="0.25">
      <c r="A1" s="4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/>
      <c r="L1" s="2"/>
      <c r="M1" s="2" t="s">
        <v>10</v>
      </c>
      <c r="N1" s="2"/>
      <c r="O1" s="47" t="s">
        <v>11</v>
      </c>
      <c r="P1" s="47" t="s">
        <v>12</v>
      </c>
      <c r="Q1" s="47" t="s">
        <v>13</v>
      </c>
      <c r="R1" s="46" t="s">
        <v>14</v>
      </c>
      <c r="S1" s="46" t="s">
        <v>15</v>
      </c>
      <c r="T1" s="47" t="s">
        <v>16</v>
      </c>
      <c r="U1" s="47" t="s">
        <v>17</v>
      </c>
      <c r="V1" s="47" t="s">
        <v>18</v>
      </c>
      <c r="W1" s="45" t="s">
        <v>19</v>
      </c>
      <c r="X1" s="45" t="s">
        <v>20</v>
      </c>
      <c r="Y1" s="45" t="s">
        <v>21</v>
      </c>
      <c r="Z1" s="45" t="s">
        <v>22</v>
      </c>
      <c r="AA1" s="44" t="s">
        <v>23</v>
      </c>
      <c r="AB1" s="45" t="s">
        <v>24</v>
      </c>
      <c r="AC1" s="44" t="s">
        <v>25</v>
      </c>
      <c r="AD1" s="1" t="s">
        <v>26</v>
      </c>
      <c r="AE1" s="1" t="s">
        <v>27</v>
      </c>
      <c r="AF1" t="s">
        <v>28</v>
      </c>
      <c r="AG1" t="s">
        <v>29</v>
      </c>
      <c r="AH1" t="s">
        <v>30</v>
      </c>
      <c r="AI1" t="s">
        <v>102</v>
      </c>
      <c r="AL1" t="s">
        <v>31</v>
      </c>
    </row>
    <row r="2" spans="1:38" x14ac:dyDescent="0.25">
      <c r="A2" s="48"/>
      <c r="B2" s="5"/>
      <c r="C2" s="5"/>
      <c r="D2" s="5"/>
      <c r="E2" s="5"/>
      <c r="F2" s="5"/>
      <c r="G2" s="5"/>
      <c r="H2" s="5"/>
      <c r="I2" s="5"/>
      <c r="J2" s="6"/>
      <c r="K2" s="5" t="s">
        <v>32</v>
      </c>
      <c r="L2" s="5" t="s">
        <v>33</v>
      </c>
      <c r="M2" s="5"/>
      <c r="N2" s="5"/>
      <c r="O2" s="47"/>
      <c r="P2" s="47"/>
      <c r="Q2" s="47"/>
      <c r="R2" s="47"/>
      <c r="S2" s="47"/>
      <c r="T2" s="47"/>
      <c r="U2" s="47"/>
      <c r="V2" s="47"/>
      <c r="W2" s="45"/>
      <c r="X2" s="45"/>
      <c r="Y2" s="45"/>
      <c r="Z2" s="45"/>
      <c r="AA2" s="44"/>
      <c r="AB2" s="45"/>
      <c r="AC2" s="44"/>
      <c r="AD2" s="7" t="s">
        <v>34</v>
      </c>
      <c r="AE2" s="7" t="s">
        <v>34</v>
      </c>
    </row>
    <row r="3" spans="1:38" x14ac:dyDescent="0.25">
      <c r="A3" s="8" t="s">
        <v>35</v>
      </c>
      <c r="B3" s="9" t="s">
        <v>36</v>
      </c>
      <c r="C3" s="9" t="s">
        <v>36</v>
      </c>
      <c r="D3" s="9" t="s">
        <v>36</v>
      </c>
      <c r="E3" s="9" t="s">
        <v>36</v>
      </c>
      <c r="F3" s="9"/>
      <c r="G3" s="9"/>
      <c r="H3" s="9"/>
      <c r="I3" s="9"/>
      <c r="J3" s="10" t="s">
        <v>36</v>
      </c>
      <c r="K3" s="9"/>
      <c r="L3" s="9" t="s">
        <v>37</v>
      </c>
      <c r="M3" s="9">
        <f>180/3.14159265</f>
        <v>57.295779578552292</v>
      </c>
      <c r="N3" s="9">
        <f>1/M3</f>
        <v>1.7453292500000002E-2</v>
      </c>
      <c r="O3" s="11" t="s">
        <v>38</v>
      </c>
      <c r="P3" s="12"/>
      <c r="Q3" s="11" t="s">
        <v>36</v>
      </c>
      <c r="R3" s="11" t="s">
        <v>36</v>
      </c>
      <c r="S3" s="11" t="s">
        <v>36</v>
      </c>
      <c r="T3" s="11" t="s">
        <v>38</v>
      </c>
      <c r="U3" s="11" t="s">
        <v>38</v>
      </c>
      <c r="V3" s="12"/>
      <c r="W3" s="13" t="s">
        <v>39</v>
      </c>
      <c r="X3" s="13" t="s">
        <v>40</v>
      </c>
      <c r="Y3" s="13" t="s">
        <v>41</v>
      </c>
      <c r="Z3" s="13" t="s">
        <v>42</v>
      </c>
      <c r="AA3" s="14" t="s">
        <v>42</v>
      </c>
      <c r="AB3" s="13" t="s">
        <v>43</v>
      </c>
      <c r="AC3" s="14" t="s">
        <v>43</v>
      </c>
      <c r="AD3" s="13" t="s">
        <v>44</v>
      </c>
      <c r="AE3" s="13"/>
    </row>
    <row r="4" spans="1:38" ht="29.25" customHeight="1" x14ac:dyDescent="0.25">
      <c r="A4" s="43" t="s">
        <v>45</v>
      </c>
      <c r="B4" s="15">
        <f>281.7</f>
        <v>281.7</v>
      </c>
      <c r="C4" s="16">
        <f>70</f>
        <v>70</v>
      </c>
      <c r="D4" s="16">
        <v>326.85000000000002</v>
      </c>
      <c r="E4" s="16">
        <v>-1</v>
      </c>
      <c r="F4" s="16">
        <f t="shared" ref="F4:F37" si="0">SIN(C4*$N$3)*COS(B4*$N$3)</f>
        <v>0.19055771976929159</v>
      </c>
      <c r="G4" s="16">
        <f t="shared" ref="G4:G37" si="1">SIN(B4/$M$3)*SIN(C4/$M$3)</f>
        <v>-0.9201684498495184</v>
      </c>
      <c r="H4" s="16">
        <f t="shared" ref="H4:H37" si="2">COS(C4*$N$3)</f>
        <v>0.34202014463750829</v>
      </c>
      <c r="I4">
        <f>F4*F5+G4*G5+H4*H5</f>
        <v>0.97111151426989417</v>
      </c>
      <c r="J4" s="17">
        <f>ACOS(I4)*$M$3</f>
        <v>13.805467264576716</v>
      </c>
      <c r="K4" s="16"/>
      <c r="L4" s="16"/>
      <c r="M4" s="16"/>
      <c r="N4" s="16"/>
      <c r="O4" s="16">
        <v>1.31</v>
      </c>
      <c r="P4" s="16">
        <v>0.31</v>
      </c>
      <c r="Q4" s="16">
        <v>2.5</v>
      </c>
      <c r="R4" s="16">
        <v>194.1</v>
      </c>
      <c r="S4" s="16">
        <v>234.5</v>
      </c>
      <c r="T4" s="16">
        <v>0.90400000000000003</v>
      </c>
      <c r="U4" s="16">
        <v>1.72</v>
      </c>
      <c r="V4" s="16">
        <v>4.93</v>
      </c>
      <c r="W4" s="16">
        <v>0.92</v>
      </c>
      <c r="X4" s="18">
        <v>50000</v>
      </c>
      <c r="Y4" s="16">
        <v>3.1</v>
      </c>
      <c r="Z4" s="16">
        <v>12.4</v>
      </c>
      <c r="AA4" s="19"/>
      <c r="AB4" s="16">
        <v>37</v>
      </c>
      <c r="AC4" s="19"/>
      <c r="AD4" s="16" t="s">
        <v>46</v>
      </c>
      <c r="AE4" s="16" t="s">
        <v>47</v>
      </c>
      <c r="AI4" t="s">
        <v>93</v>
      </c>
      <c r="AL4" t="s">
        <v>48</v>
      </c>
    </row>
    <row r="5" spans="1:38" x14ac:dyDescent="0.25">
      <c r="A5" s="43"/>
      <c r="B5" s="20">
        <f>281.3</f>
        <v>281.3</v>
      </c>
      <c r="C5" s="21">
        <v>83.8</v>
      </c>
      <c r="D5" s="21"/>
      <c r="E5" s="21"/>
      <c r="F5" s="22">
        <f t="shared" si="0"/>
        <v>0.19480004268087178</v>
      </c>
      <c r="G5" s="22">
        <f t="shared" si="1"/>
        <v>-0.97487900899534108</v>
      </c>
      <c r="H5" s="22">
        <f t="shared" si="2"/>
        <v>0.10799935736749568</v>
      </c>
      <c r="I5" s="21"/>
      <c r="J5" s="23"/>
      <c r="K5" s="21">
        <f>(B5-B4)</f>
        <v>-0.39999999999997726</v>
      </c>
      <c r="L5" s="21">
        <f>(C5-C4)</f>
        <v>13.799999999999997</v>
      </c>
      <c r="M5" s="21">
        <f>2*ASIN(SQRT(SIN(L5/($M$3*2))*SIN(L5/($M$3*2))+COS(C4/$M$3)*COS(C5/$M$3)*SIN(K5/2/$M$3)*SIN(K5/2/$M$3)))*$M$3</f>
        <v>13.800216214994379</v>
      </c>
      <c r="N5" s="21"/>
      <c r="O5" s="21">
        <v>1.64</v>
      </c>
      <c r="P5" s="21">
        <v>0.43</v>
      </c>
      <c r="Q5" s="21">
        <v>3.9</v>
      </c>
      <c r="R5" s="21">
        <v>14.1</v>
      </c>
      <c r="S5" s="21">
        <v>36.299999999999997</v>
      </c>
      <c r="T5" s="21">
        <v>0.94</v>
      </c>
      <c r="U5" s="21">
        <v>2.35</v>
      </c>
      <c r="V5" s="21">
        <v>4.2</v>
      </c>
      <c r="W5" s="21">
        <v>1</v>
      </c>
      <c r="X5" s="24">
        <v>47000</v>
      </c>
      <c r="Y5" s="21">
        <v>3</v>
      </c>
      <c r="Z5" s="21">
        <v>13.3</v>
      </c>
      <c r="AA5" s="25">
        <f>Z5-Z4</f>
        <v>0.90000000000000036</v>
      </c>
      <c r="AB5" s="21">
        <v>38.9</v>
      </c>
      <c r="AC5" s="25">
        <f>AB5-AB4</f>
        <v>1.8999999999999986</v>
      </c>
      <c r="AD5" s="21"/>
      <c r="AE5" s="21"/>
      <c r="AF5">
        <f>(AG5 - AH5)/COS(RADIANS(C4))</f>
        <v>93.561740805218761</v>
      </c>
      <c r="AG5">
        <v>65</v>
      </c>
      <c r="AH5">
        <v>33</v>
      </c>
      <c r="AI5" t="s">
        <v>100</v>
      </c>
    </row>
    <row r="6" spans="1:38" ht="14.85" customHeight="1" x14ac:dyDescent="0.25">
      <c r="A6" s="43" t="s">
        <v>49</v>
      </c>
      <c r="B6" s="15">
        <v>348.6</v>
      </c>
      <c r="C6" s="16">
        <v>22.83</v>
      </c>
      <c r="D6" s="16">
        <v>299.99</v>
      </c>
      <c r="E6" s="16">
        <v>74.97</v>
      </c>
      <c r="F6" s="16">
        <f t="shared" si="0"/>
        <v>0.3803434696590709</v>
      </c>
      <c r="G6" s="16">
        <f t="shared" si="1"/>
        <v>-7.6690698744502878E-2</v>
      </c>
      <c r="H6" s="16">
        <f t="shared" si="2"/>
        <v>0.92166012272083209</v>
      </c>
      <c r="I6">
        <f>F6*F7+G6*G7+H6*H7</f>
        <v>0.84901294474883615</v>
      </c>
      <c r="J6" s="17">
        <f>ACOS(I6)*$M$3</f>
        <v>31.895526464130793</v>
      </c>
      <c r="K6" s="16"/>
      <c r="L6" s="16"/>
      <c r="M6" s="16"/>
      <c r="N6" s="16"/>
      <c r="O6" s="26">
        <v>1.23</v>
      </c>
      <c r="P6" s="26">
        <v>0.22</v>
      </c>
      <c r="Q6" s="26">
        <v>25.5</v>
      </c>
      <c r="R6" s="26">
        <v>238.9</v>
      </c>
      <c r="S6" s="26">
        <v>212</v>
      </c>
      <c r="T6" s="26">
        <v>0.95899999999999996</v>
      </c>
      <c r="U6" s="26">
        <v>1.5</v>
      </c>
      <c r="V6" s="26">
        <v>5.09</v>
      </c>
      <c r="W6" s="26">
        <v>0.31</v>
      </c>
      <c r="X6" s="27">
        <v>8000</v>
      </c>
      <c r="Y6" s="26">
        <v>1.7</v>
      </c>
      <c r="Z6" s="26">
        <v>18</v>
      </c>
      <c r="AA6" s="28"/>
      <c r="AB6" s="26">
        <v>31</v>
      </c>
      <c r="AC6" s="28"/>
      <c r="AD6" s="26" t="s">
        <v>50</v>
      </c>
      <c r="AE6" s="26" t="s">
        <v>51</v>
      </c>
      <c r="AL6" t="s">
        <v>52</v>
      </c>
    </row>
    <row r="7" spans="1:38" x14ac:dyDescent="0.25">
      <c r="A7" s="43"/>
      <c r="B7" s="20">
        <v>330.6</v>
      </c>
      <c r="C7" s="21">
        <v>53.04</v>
      </c>
      <c r="D7" s="21"/>
      <c r="E7" s="21"/>
      <c r="F7" s="22">
        <f t="shared" si="0"/>
        <v>0.69614815080101056</v>
      </c>
      <c r="G7" s="22">
        <f t="shared" si="1"/>
        <v>-0.39225932969247218</v>
      </c>
      <c r="H7" s="22">
        <f t="shared" si="2"/>
        <v>0.60125732461696124</v>
      </c>
      <c r="I7" s="21"/>
      <c r="J7" s="23"/>
      <c r="K7" s="21">
        <f>(B7-B6)</f>
        <v>-18</v>
      </c>
      <c r="L7" s="21">
        <f>(C7-C6)</f>
        <v>30.21</v>
      </c>
      <c r="M7" s="21">
        <f>2*ASIN(SQRT(SIN(L7/($M$3*2))^2+COS(C6/$M$3)*COS(C7/$M$3)*SIN(K7/2/$M$3)^2))*$M$3</f>
        <v>33.168552534352351</v>
      </c>
      <c r="N7" s="21"/>
      <c r="O7" s="21">
        <v>0.79</v>
      </c>
      <c r="P7" s="21">
        <v>0.26</v>
      </c>
      <c r="Q7" s="21">
        <v>10.3</v>
      </c>
      <c r="R7" s="21">
        <v>238.93</v>
      </c>
      <c r="S7" s="21">
        <v>3.2</v>
      </c>
      <c r="T7" s="21">
        <v>0.57999999999999996</v>
      </c>
      <c r="U7" s="21">
        <v>0.99</v>
      </c>
      <c r="V7" s="21">
        <v>7.4</v>
      </c>
      <c r="W7" s="21">
        <v>0.41</v>
      </c>
      <c r="X7" s="24">
        <v>20600</v>
      </c>
      <c r="Y7" s="21">
        <v>2.2999999999999998</v>
      </c>
      <c r="Z7" s="21">
        <v>12.9</v>
      </c>
      <c r="AA7" s="25">
        <f>Z7-Z6</f>
        <v>-5.0999999999999996</v>
      </c>
      <c r="AB7" s="21">
        <v>28.2</v>
      </c>
      <c r="AC7" s="25">
        <f>AB7-AB6</f>
        <v>-2.8000000000000007</v>
      </c>
      <c r="AD7" s="21"/>
      <c r="AE7" s="21"/>
      <c r="AF7">
        <v>54.3</v>
      </c>
      <c r="AG7">
        <v>81</v>
      </c>
      <c r="AH7">
        <v>12.7</v>
      </c>
    </row>
    <row r="8" spans="1:38" ht="14.85" customHeight="1" x14ac:dyDescent="0.25">
      <c r="A8" s="43" t="s">
        <v>53</v>
      </c>
      <c r="B8" s="15">
        <v>103.5</v>
      </c>
      <c r="C8" s="16">
        <v>71.45</v>
      </c>
      <c r="D8" s="16"/>
      <c r="E8" s="16"/>
      <c r="F8" s="16">
        <f t="shared" si="0"/>
        <v>-0.22131703329692332</v>
      </c>
      <c r="G8" s="16">
        <f t="shared" si="1"/>
        <v>0.92185179629142266</v>
      </c>
      <c r="H8" s="16">
        <f t="shared" si="2"/>
        <v>0.31813210533821629</v>
      </c>
      <c r="I8">
        <f>F8*F9+G8*G9+H8*H9</f>
        <v>0.99713142231173157</v>
      </c>
      <c r="J8" s="17">
        <f>ACOS(I8)*$M$3</f>
        <v>4.3408503187255141</v>
      </c>
      <c r="K8" s="16"/>
      <c r="L8" s="16"/>
      <c r="M8" s="16"/>
      <c r="N8" s="16"/>
      <c r="O8" s="26">
        <v>1.72</v>
      </c>
      <c r="P8" s="26">
        <v>0.57099999999999995</v>
      </c>
      <c r="Q8" s="26">
        <v>5</v>
      </c>
      <c r="R8" s="26">
        <v>326.45999999999998</v>
      </c>
      <c r="S8" s="26">
        <v>107.7</v>
      </c>
      <c r="T8" s="26">
        <v>0.73799999999999999</v>
      </c>
      <c r="U8" s="26">
        <v>2.7</v>
      </c>
      <c r="V8" s="26">
        <v>3.97</v>
      </c>
      <c r="W8" s="26">
        <v>500</v>
      </c>
      <c r="X8" s="27">
        <v>12000000</v>
      </c>
      <c r="Y8" s="26">
        <v>19</v>
      </c>
      <c r="Z8" s="26">
        <v>19</v>
      </c>
      <c r="AA8" s="28"/>
      <c r="AB8" s="26">
        <v>30</v>
      </c>
      <c r="AC8" s="28"/>
      <c r="AD8" s="26" t="s">
        <v>54</v>
      </c>
      <c r="AE8" s="26" t="s">
        <v>55</v>
      </c>
      <c r="AL8" t="s">
        <v>56</v>
      </c>
    </row>
    <row r="9" spans="1:38" x14ac:dyDescent="0.25">
      <c r="A9" s="43"/>
      <c r="B9" s="20">
        <v>99.9</v>
      </c>
      <c r="C9" s="21">
        <v>74.099999999999994</v>
      </c>
      <c r="D9" s="21"/>
      <c r="E9" s="21"/>
      <c r="F9" s="22">
        <f t="shared" si="0"/>
        <v>-0.1653513160951518</v>
      </c>
      <c r="G9" s="22">
        <f t="shared" si="1"/>
        <v>0.94742033331584075</v>
      </c>
      <c r="H9" s="22">
        <f t="shared" si="2"/>
        <v>0.27395922011369206</v>
      </c>
      <c r="I9" s="21"/>
      <c r="J9" s="23"/>
      <c r="K9" s="21">
        <f>(B9-B8)</f>
        <v>-3.5999999999999943</v>
      </c>
      <c r="L9" s="21">
        <f>(C9-C8)</f>
        <v>2.6499999999999915</v>
      </c>
      <c r="M9" s="21">
        <f>2*ASIN(SQRT(SIN(L9/($M$3*2))^2+COS(C8/$M$3)*COS(C9/$M$3)*SIN(K9/2/$M$3)^2))*$M$3</f>
        <v>2.8551874225861202</v>
      </c>
      <c r="N9" s="21"/>
      <c r="O9" s="21">
        <v>1.71</v>
      </c>
      <c r="P9" s="21">
        <v>0.56000000000000005</v>
      </c>
      <c r="Q9" s="21">
        <v>4.0999999999999996</v>
      </c>
      <c r="R9" s="21">
        <v>326.41000000000003</v>
      </c>
      <c r="S9" s="21">
        <v>109.7</v>
      </c>
      <c r="T9" s="21">
        <v>0.75</v>
      </c>
      <c r="U9" s="21">
        <v>2.67</v>
      </c>
      <c r="V9" s="21">
        <v>3.99</v>
      </c>
      <c r="W9" s="21">
        <v>440</v>
      </c>
      <c r="X9" s="24">
        <v>11000000</v>
      </c>
      <c r="Y9" s="21">
        <v>18</v>
      </c>
      <c r="Z9" s="21">
        <v>18.600000000000001</v>
      </c>
      <c r="AA9" s="25">
        <f>Z9-Z8</f>
        <v>-0.39999999999999858</v>
      </c>
      <c r="AB9" s="21">
        <v>23</v>
      </c>
      <c r="AC9" s="25">
        <f>AB9-AB8</f>
        <v>-7</v>
      </c>
      <c r="AD9" s="21"/>
      <c r="AE9" s="21"/>
      <c r="AF9">
        <v>222.7</v>
      </c>
      <c r="AG9">
        <v>95.1</v>
      </c>
      <c r="AH9">
        <v>12.6</v>
      </c>
    </row>
    <row r="10" spans="1:38" ht="14.85" customHeight="1" x14ac:dyDescent="0.25">
      <c r="A10" s="43" t="s">
        <v>57</v>
      </c>
      <c r="B10" s="15">
        <v>297.14</v>
      </c>
      <c r="C10" s="16">
        <v>56.3</v>
      </c>
      <c r="D10" s="16">
        <v>120.95</v>
      </c>
      <c r="E10" s="16">
        <v>33.450000000000003</v>
      </c>
      <c r="F10" s="16">
        <f t="shared" si="0"/>
        <v>0.37950941397281945</v>
      </c>
      <c r="G10" s="16">
        <f t="shared" si="1"/>
        <v>-0.74035144694889443</v>
      </c>
      <c r="H10" s="16">
        <f t="shared" si="2"/>
        <v>0.55484442838212356</v>
      </c>
      <c r="I10">
        <f>F10*F11+G10*G11+H10*H11</f>
        <v>0.78642323513016799</v>
      </c>
      <c r="J10" s="17">
        <f>ACOS(I10)*$M$3</f>
        <v>38.147497664349601</v>
      </c>
      <c r="K10" s="16"/>
      <c r="L10" s="16"/>
      <c r="M10" s="16"/>
      <c r="N10" s="16"/>
      <c r="O10" s="26">
        <v>2.71</v>
      </c>
      <c r="P10" s="26">
        <v>0.64700000000000002</v>
      </c>
      <c r="Q10" s="26">
        <v>2</v>
      </c>
      <c r="R10" s="26">
        <v>340.07</v>
      </c>
      <c r="S10" s="26">
        <v>204.2</v>
      </c>
      <c r="T10" s="26">
        <v>0.95699999999999996</v>
      </c>
      <c r="U10" s="26">
        <v>4.46</v>
      </c>
      <c r="V10" s="26">
        <v>3.02</v>
      </c>
      <c r="W10" s="26">
        <v>0.13</v>
      </c>
      <c r="X10" s="27">
        <v>3500</v>
      </c>
      <c r="Y10" s="26">
        <v>1.2</v>
      </c>
      <c r="Z10" s="26">
        <v>15</v>
      </c>
      <c r="AA10" s="28"/>
      <c r="AB10" s="26">
        <v>36</v>
      </c>
      <c r="AC10" s="28"/>
      <c r="AD10" s="26" t="s">
        <v>54</v>
      </c>
      <c r="AE10" s="26" t="s">
        <v>58</v>
      </c>
      <c r="AI10" t="s">
        <v>93</v>
      </c>
      <c r="AL10" s="29" t="s">
        <v>59</v>
      </c>
    </row>
    <row r="11" spans="1:38" x14ac:dyDescent="0.25">
      <c r="A11" s="43"/>
      <c r="B11" s="20">
        <v>257.60000000000002</v>
      </c>
      <c r="C11" s="21">
        <v>27.14</v>
      </c>
      <c r="D11" s="21"/>
      <c r="E11" s="21"/>
      <c r="F11" s="22">
        <f t="shared" si="0"/>
        <v>-9.795501798227696E-2</v>
      </c>
      <c r="G11" s="22">
        <f t="shared" si="1"/>
        <v>-0.4455249609165568</v>
      </c>
      <c r="H11" s="22">
        <f t="shared" si="2"/>
        <v>0.88989455760353564</v>
      </c>
      <c r="J11" s="17"/>
      <c r="K11" s="21">
        <f>(B11-B10)</f>
        <v>-39.539999999999964</v>
      </c>
      <c r="L11" s="21">
        <f>(C11-C10)</f>
        <v>-29.159999999999997</v>
      </c>
      <c r="M11" s="21">
        <f>2*ASIN(SQRT(SIN(L11/($M$3*2))^2+COS(C10/$M$3)*COS(C11/$M$3)*SIN(K11/2/$M$3)^2))*$M$3</f>
        <v>40.51093113163332</v>
      </c>
      <c r="N11" s="21"/>
      <c r="O11" s="21">
        <v>2.7</v>
      </c>
      <c r="P11" s="21">
        <v>0.65</v>
      </c>
      <c r="Q11" s="21">
        <v>3.2</v>
      </c>
      <c r="R11" s="21">
        <v>340.08</v>
      </c>
      <c r="S11" s="21">
        <v>204</v>
      </c>
      <c r="T11" s="21">
        <v>0.95699999999999996</v>
      </c>
      <c r="U11" s="21">
        <v>4.4400000000000004</v>
      </c>
      <c r="V11" s="21">
        <v>3.03</v>
      </c>
      <c r="W11" s="21">
        <v>0.44</v>
      </c>
      <c r="X11" s="24">
        <v>16000</v>
      </c>
      <c r="Y11" s="21">
        <v>2</v>
      </c>
      <c r="Z11" s="21">
        <v>15.1</v>
      </c>
      <c r="AA11" s="25">
        <f>Z11-Z10</f>
        <v>9.9999999999999645E-2</v>
      </c>
      <c r="AB11" s="21">
        <v>37</v>
      </c>
      <c r="AC11" s="25">
        <f>AB11-AB10</f>
        <v>1</v>
      </c>
      <c r="AD11" s="21"/>
      <c r="AE11" s="21"/>
      <c r="AF11">
        <f>(AG11 - AH11)/COS(RADIANS(C10))</f>
        <v>91.737426712770585</v>
      </c>
      <c r="AG11">
        <v>68.3</v>
      </c>
      <c r="AH11">
        <v>17.399999999999999</v>
      </c>
      <c r="AI11" t="s">
        <v>60</v>
      </c>
    </row>
    <row r="12" spans="1:38" ht="14.85" customHeight="1" x14ac:dyDescent="0.25">
      <c r="A12" s="43" t="s">
        <v>61</v>
      </c>
      <c r="B12" s="15">
        <v>95.19</v>
      </c>
      <c r="C12" s="16">
        <v>64.86</v>
      </c>
      <c r="D12" s="16"/>
      <c r="E12" s="16"/>
      <c r="F12" s="16">
        <f t="shared" si="0"/>
        <v>-8.1889823638410353E-2</v>
      </c>
      <c r="G12" s="16">
        <f t="shared" si="1"/>
        <v>0.90156099662840572</v>
      </c>
      <c r="H12" s="16">
        <f t="shared" si="2"/>
        <v>0.42483152677604535</v>
      </c>
      <c r="I12">
        <f>F12*F13+G12*G13+H12*H13</f>
        <v>0.99943902597080736</v>
      </c>
      <c r="J12" s="17">
        <f>ACOS(I12)*$M$3</f>
        <v>1.9192401173046714</v>
      </c>
      <c r="K12" s="16"/>
      <c r="L12" s="16"/>
      <c r="M12" s="16"/>
      <c r="N12" s="16"/>
      <c r="O12" s="26"/>
      <c r="P12" s="26"/>
      <c r="Q12" s="26"/>
      <c r="R12" s="26"/>
      <c r="S12" s="26"/>
      <c r="T12" s="26"/>
      <c r="U12" s="26"/>
      <c r="V12" s="26"/>
      <c r="W12" s="26"/>
      <c r="X12" s="27"/>
      <c r="Y12" s="26"/>
      <c r="Z12" s="26">
        <v>17</v>
      </c>
      <c r="AA12" s="28"/>
      <c r="AB12" s="26">
        <v>27.8</v>
      </c>
      <c r="AC12" s="28"/>
      <c r="AD12" s="26"/>
      <c r="AE12" s="26" t="s">
        <v>62</v>
      </c>
      <c r="AL12" s="30" t="s">
        <v>63</v>
      </c>
    </row>
    <row r="13" spans="1:38" x14ac:dyDescent="0.25">
      <c r="A13" s="43"/>
      <c r="B13" s="20">
        <v>95.89</v>
      </c>
      <c r="C13" s="21">
        <v>66.67</v>
      </c>
      <c r="D13" s="21"/>
      <c r="E13" s="21"/>
      <c r="F13" s="22">
        <f t="shared" si="0"/>
        <v>-9.422871417253148E-2</v>
      </c>
      <c r="G13" s="22">
        <f t="shared" si="1"/>
        <v>0.91339152719580485</v>
      </c>
      <c r="H13" s="22">
        <f t="shared" si="2"/>
        <v>0.39602634694210248</v>
      </c>
      <c r="I13" s="21"/>
      <c r="J13" s="23"/>
      <c r="K13" s="21">
        <f>(B13-B12)</f>
        <v>0.70000000000000284</v>
      </c>
      <c r="L13" s="21">
        <f>(C13-C12)</f>
        <v>1.8100000000000023</v>
      </c>
      <c r="M13" s="21">
        <f>2*ASIN(SQRT(SIN(L13/($M$3*2))^2+COS(C12/$M$3)*COS(C13/$M$3)*SIN(K13/2/$M$3)^2))*$M$3</f>
        <v>1.8326354396105005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4"/>
      <c r="Y13" s="21"/>
      <c r="Z13" s="21">
        <v>16.89</v>
      </c>
      <c r="AA13" s="25">
        <f>Z13-Z12</f>
        <v>-0.10999999999999943</v>
      </c>
      <c r="AB13" s="21">
        <v>28.7</v>
      </c>
      <c r="AC13" s="25">
        <f>AB13-AB12</f>
        <v>0.89999999999999858</v>
      </c>
      <c r="AD13" s="21"/>
      <c r="AE13" s="21"/>
      <c r="AF13">
        <v>124.8</v>
      </c>
      <c r="AG13">
        <v>85</v>
      </c>
      <c r="AH13">
        <v>21</v>
      </c>
    </row>
    <row r="14" spans="1:38" ht="14.85" customHeight="1" x14ac:dyDescent="0.25">
      <c r="A14" s="43" t="s">
        <v>64</v>
      </c>
      <c r="B14" s="15">
        <v>177.566</v>
      </c>
      <c r="C14" s="16">
        <v>53.8</v>
      </c>
      <c r="D14" s="16"/>
      <c r="E14" s="16"/>
      <c r="F14" s="16">
        <f t="shared" si="0"/>
        <v>-0.80623227556642285</v>
      </c>
      <c r="G14" s="16">
        <f t="shared" si="1"/>
        <v>3.4270427302335503E-2</v>
      </c>
      <c r="H14" s="16">
        <f t="shared" si="2"/>
        <v>0.5906056684857528</v>
      </c>
      <c r="I14">
        <f>F14*F15+G14*G15+H14*H15</f>
        <v>-3.455990766599995E-2</v>
      </c>
      <c r="J14" s="17">
        <f>ACOS(I14)*$M$3</f>
        <v>91.980531341760155</v>
      </c>
      <c r="K14" s="16"/>
      <c r="L14" s="16"/>
      <c r="M14" s="16"/>
      <c r="N14" s="16"/>
      <c r="O14" s="26"/>
      <c r="P14" s="26"/>
      <c r="Q14" s="26"/>
      <c r="R14" s="26"/>
      <c r="S14" s="26"/>
      <c r="T14" s="26"/>
      <c r="U14" s="26"/>
      <c r="V14" s="26"/>
      <c r="W14" s="26"/>
      <c r="X14" s="27"/>
      <c r="Y14" s="26"/>
      <c r="Z14" s="31">
        <v>16.5</v>
      </c>
      <c r="AA14" s="25"/>
      <c r="AB14" s="31">
        <v>27</v>
      </c>
      <c r="AC14" s="28"/>
      <c r="AD14" s="26"/>
      <c r="AE14" s="26"/>
      <c r="AL14" t="s">
        <v>65</v>
      </c>
    </row>
    <row r="15" spans="1:38" x14ac:dyDescent="0.25">
      <c r="A15" s="43"/>
      <c r="B15" s="20">
        <v>280.10000000000002</v>
      </c>
      <c r="C15" s="21">
        <v>76.7</v>
      </c>
      <c r="D15" s="21"/>
      <c r="E15" s="21"/>
      <c r="F15" s="22">
        <f t="shared" si="0"/>
        <v>0.17066318740705266</v>
      </c>
      <c r="G15" s="22">
        <f t="shared" si="1"/>
        <v>-0.958097695539883</v>
      </c>
      <c r="H15" s="22">
        <f t="shared" si="2"/>
        <v>0.23004973867672812</v>
      </c>
      <c r="I15" s="21"/>
      <c r="J15" s="23"/>
      <c r="K15" s="21">
        <f>(B15-B14)</f>
        <v>102.53400000000002</v>
      </c>
      <c r="L15" s="21">
        <f>(C15-C14)</f>
        <v>22.900000000000006</v>
      </c>
      <c r="M15" s="21">
        <f>2*ASIN(SQRT(SIN(L15/($M$3*2))^2+COS(C14/$M$3)*COS(C15/$M$3)*SIN(K15/2/$M$3)^2))*$M$3</f>
        <v>40.901996717785281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4"/>
      <c r="Y15" s="21"/>
      <c r="Z15" s="32">
        <v>14.7</v>
      </c>
      <c r="AA15" s="25">
        <f>Z15-Z14</f>
        <v>-1.8000000000000007</v>
      </c>
      <c r="AB15" s="32">
        <v>36</v>
      </c>
      <c r="AC15" s="25">
        <f>AB15-AB14</f>
        <v>9</v>
      </c>
      <c r="AD15" s="21"/>
      <c r="AE15" s="21"/>
      <c r="AF15">
        <v>123</v>
      </c>
      <c r="AG15">
        <v>90</v>
      </c>
      <c r="AH15">
        <v>25</v>
      </c>
    </row>
    <row r="16" spans="1:38" ht="14.85" customHeight="1" x14ac:dyDescent="0.25">
      <c r="A16" s="43" t="s">
        <v>66</v>
      </c>
      <c r="B16" s="15">
        <v>6.74</v>
      </c>
      <c r="C16" s="16">
        <v>17.2</v>
      </c>
      <c r="D16" s="16"/>
      <c r="E16" s="16"/>
      <c r="F16" s="16">
        <f t="shared" si="0"/>
        <v>0.29366439837098662</v>
      </c>
      <c r="G16" s="16">
        <f t="shared" si="1"/>
        <v>3.4705500953901826E-2</v>
      </c>
      <c r="H16" s="16">
        <f t="shared" si="2"/>
        <v>0.95527836222377882</v>
      </c>
      <c r="I16">
        <f>F16*F17+G16*G17+H16*H17</f>
        <v>0.99936238392050503</v>
      </c>
      <c r="J16" s="17">
        <f>ACOS(I16)*$M$3</f>
        <v>2.046163530644391</v>
      </c>
      <c r="K16" s="16"/>
      <c r="L16" s="16"/>
      <c r="M16" s="16"/>
      <c r="N16" s="16"/>
      <c r="O16" s="26"/>
      <c r="P16" s="26"/>
      <c r="Q16" s="26"/>
      <c r="R16" s="26"/>
      <c r="S16" s="26"/>
      <c r="T16" s="26"/>
      <c r="U16" s="26"/>
      <c r="V16" s="26"/>
      <c r="W16" s="26"/>
      <c r="X16" s="27"/>
      <c r="Y16" s="26"/>
      <c r="Z16" s="26">
        <v>9.6</v>
      </c>
      <c r="AA16" s="28"/>
      <c r="AB16" s="26">
        <v>25.7</v>
      </c>
      <c r="AC16" s="28"/>
      <c r="AD16" s="26"/>
      <c r="AE16" s="26"/>
      <c r="AI16" t="s">
        <v>95</v>
      </c>
      <c r="AL16" s="30" t="s">
        <v>67</v>
      </c>
    </row>
    <row r="17" spans="1:38" x14ac:dyDescent="0.25">
      <c r="A17" s="43"/>
      <c r="B17" s="20">
        <v>11.6</v>
      </c>
      <c r="C17" s="21">
        <v>18.600000000000001</v>
      </c>
      <c r="D17" s="21"/>
      <c r="E17" s="21"/>
      <c r="F17" s="21">
        <f t="shared" si="0"/>
        <v>0.31244464468813915</v>
      </c>
      <c r="G17" s="21">
        <f t="shared" si="1"/>
        <v>6.4135674700834033E-2</v>
      </c>
      <c r="H17" s="21">
        <f t="shared" si="2"/>
        <v>0.94776841012790214</v>
      </c>
      <c r="I17" s="21"/>
      <c r="J17" s="23"/>
      <c r="K17" s="21">
        <f>(B17-B16)</f>
        <v>4.8599999999999994</v>
      </c>
      <c r="L17" s="21">
        <f>(C17-C16)</f>
        <v>1.4000000000000021</v>
      </c>
      <c r="M17" s="21">
        <f>2*ASIN(SQRT(SIN(L17/($M$3*2))^2+COS(C16/$M$3)*COS(C17/$M$3)*SIN(K17/2/$M$3)^2))*$M$3</f>
        <v>4.8317379715322648</v>
      </c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4"/>
      <c r="Y17" s="21"/>
      <c r="Z17" s="21">
        <v>15.2</v>
      </c>
      <c r="AA17" s="25">
        <f>Z17-Z16</f>
        <v>5.6</v>
      </c>
      <c r="AB17" s="21">
        <v>20</v>
      </c>
      <c r="AC17" s="25">
        <f>AB17-AB16</f>
        <v>-5.6999999999999993</v>
      </c>
      <c r="AD17" s="21"/>
      <c r="AE17" s="21"/>
      <c r="AF17">
        <f>(86.782 - 25.648)/COS(RADIANS(C16)) + (5.46 - 4.61) * 0.85</f>
        <v>64.718506215589855</v>
      </c>
      <c r="AG17">
        <v>86.781999999999996</v>
      </c>
      <c r="AH17">
        <f>AG17 - AF17 * COS(RADIANS(17.2))</f>
        <v>24.957811383366604</v>
      </c>
      <c r="AI17" t="s">
        <v>94</v>
      </c>
    </row>
    <row r="18" spans="1:38" ht="14.85" customHeight="1" x14ac:dyDescent="0.25">
      <c r="A18" s="43" t="s">
        <v>68</v>
      </c>
      <c r="B18" s="15">
        <v>346.41</v>
      </c>
      <c r="C18" s="16">
        <v>70</v>
      </c>
      <c r="D18" s="16"/>
      <c r="E18" s="16"/>
      <c r="F18" s="16">
        <f t="shared" si="0"/>
        <v>0.91338312905812569</v>
      </c>
      <c r="G18" s="16">
        <f t="shared" si="1"/>
        <v>-0.2208019026506004</v>
      </c>
      <c r="H18" s="16">
        <f t="shared" si="2"/>
        <v>0.34202014463750829</v>
      </c>
      <c r="I18">
        <f>F18*F19+G18*G19+H18*H19</f>
        <v>0.97038484482760345</v>
      </c>
      <c r="J18" s="17">
        <f>ACOS(I18)*$M$3</f>
        <v>13.978877931652224</v>
      </c>
      <c r="K18" s="16"/>
      <c r="L18" s="16"/>
      <c r="M18" s="16"/>
      <c r="N18" s="16"/>
      <c r="O18" s="26"/>
      <c r="P18" s="26"/>
      <c r="Q18" s="26"/>
      <c r="R18" s="26"/>
      <c r="S18" s="26"/>
      <c r="T18" s="26"/>
      <c r="U18" s="26"/>
      <c r="V18" s="26"/>
      <c r="W18" s="26"/>
      <c r="X18" s="27"/>
      <c r="Y18" s="26"/>
      <c r="Z18" s="26">
        <v>13.4</v>
      </c>
      <c r="AA18" s="28"/>
      <c r="AB18" s="26">
        <v>40.200000000000003</v>
      </c>
      <c r="AC18" s="28"/>
      <c r="AD18" s="26"/>
      <c r="AE18" s="26"/>
      <c r="AI18" t="s">
        <v>93</v>
      </c>
      <c r="AL18" s="30" t="s">
        <v>67</v>
      </c>
    </row>
    <row r="19" spans="1:38" x14ac:dyDescent="0.25">
      <c r="A19" s="43"/>
      <c r="B19" s="20">
        <v>331.7</v>
      </c>
      <c r="C19" s="21">
        <v>71.599999999999994</v>
      </c>
      <c r="D19" s="21"/>
      <c r="E19" s="21"/>
      <c r="F19" s="21">
        <f t="shared" si="0"/>
        <v>0.83546383616836961</v>
      </c>
      <c r="G19" s="21">
        <f t="shared" si="1"/>
        <v>-0.44985093428137796</v>
      </c>
      <c r="H19" s="21">
        <f t="shared" si="2"/>
        <v>0.3156490383020405</v>
      </c>
      <c r="I19" s="21"/>
      <c r="J19" s="23"/>
      <c r="K19" s="21">
        <f>(B19-B18)</f>
        <v>-14.710000000000036</v>
      </c>
      <c r="L19" s="21">
        <f>(C19-C18)</f>
        <v>1.5999999999999943</v>
      </c>
      <c r="M19" s="21">
        <f>2*ASIN(SQRT(SIN(L19/($M$3*2))^2+COS(C18/$M$3)*COS(C19/$M$3)*SIN(K19/2/$M$3)^2))*$M$3</f>
        <v>5.0802726412015344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4"/>
      <c r="Y19" s="21"/>
      <c r="Z19" s="21">
        <v>18.100000000000001</v>
      </c>
      <c r="AA19" s="25">
        <f>Z19-Z18</f>
        <v>4.7000000000000011</v>
      </c>
      <c r="AB19" s="21">
        <v>38.1</v>
      </c>
      <c r="AC19" s="25">
        <f>AB19-AB18</f>
        <v>-2.1000000000000014</v>
      </c>
      <c r="AD19" s="21"/>
      <c r="AE19" s="21"/>
      <c r="AF19">
        <f>(AG19 - AH19)/COS(RADIANS(C18))</f>
        <v>145.88906815493749</v>
      </c>
      <c r="AG19">
        <v>83.316999999999993</v>
      </c>
      <c r="AH19">
        <v>33.42</v>
      </c>
    </row>
    <row r="20" spans="1:38" ht="14.85" customHeight="1" x14ac:dyDescent="0.25">
      <c r="A20" s="42" t="s">
        <v>69</v>
      </c>
      <c r="B20" s="15">
        <v>232.2</v>
      </c>
      <c r="C20" s="16">
        <v>47</v>
      </c>
      <c r="D20" s="16"/>
      <c r="E20" s="16"/>
      <c r="F20" s="16">
        <f t="shared" si="0"/>
        <v>-0.44825184472187485</v>
      </c>
      <c r="G20" s="16">
        <f t="shared" si="1"/>
        <v>-0.57788279057300818</v>
      </c>
      <c r="H20" s="16">
        <f t="shared" si="2"/>
        <v>0.68199836074802178</v>
      </c>
      <c r="I20">
        <f>F20*F21+G20*G21+H20*H21</f>
        <v>0.9929836180552567</v>
      </c>
      <c r="J20" s="17">
        <f>ACOS(I20)*$M$3</f>
        <v>6.7912309608009833</v>
      </c>
      <c r="K20" s="16"/>
      <c r="L20" s="16"/>
      <c r="M20" s="16"/>
      <c r="N20" s="16"/>
      <c r="O20" s="26"/>
      <c r="P20" s="26"/>
      <c r="Q20" s="26"/>
      <c r="R20" s="26"/>
      <c r="S20" s="26"/>
      <c r="T20" s="26"/>
      <c r="U20" s="26"/>
      <c r="V20" s="26"/>
      <c r="W20" s="26"/>
      <c r="X20" s="27"/>
      <c r="Y20" s="26"/>
      <c r="Z20" s="26">
        <v>27.76</v>
      </c>
      <c r="AA20" s="28"/>
      <c r="AB20" s="26">
        <v>42.8</v>
      </c>
      <c r="AC20" s="28"/>
      <c r="AD20" s="26"/>
      <c r="AE20" s="26"/>
      <c r="AI20" t="s">
        <v>93</v>
      </c>
      <c r="AL20" s="30" t="s">
        <v>70</v>
      </c>
    </row>
    <row r="21" spans="1:38" x14ac:dyDescent="0.25">
      <c r="A21" s="42"/>
      <c r="B21" s="20">
        <v>222.9</v>
      </c>
      <c r="C21" s="21">
        <v>46.4</v>
      </c>
      <c r="D21" s="21"/>
      <c r="E21" s="21"/>
      <c r="F21" s="21">
        <f t="shared" si="0"/>
        <v>-0.53048695632156029</v>
      </c>
      <c r="G21" s="21">
        <f t="shared" si="1"/>
        <v>-0.49295889600070064</v>
      </c>
      <c r="H21" s="21">
        <f t="shared" si="2"/>
        <v>0.68961954440579587</v>
      </c>
      <c r="J21" s="17"/>
      <c r="K21" s="21">
        <f>(B21-B20)</f>
        <v>-9.2999999999999829</v>
      </c>
      <c r="L21" s="21">
        <f>(C21-C20)</f>
        <v>-0.60000000000000142</v>
      </c>
      <c r="M21" s="21">
        <f>2*ASIN(SQRT(SIN(L21/($M$3*2))^2+COS(C20/$M$3)*COS(C21/$M$3)*SIN(K21/2/$M$3)^2))*$M$3</f>
        <v>6.4024469014057157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4"/>
      <c r="Y21" s="21"/>
      <c r="Z21" s="21">
        <v>35.700000000000003</v>
      </c>
      <c r="AA21" s="25">
        <f>Z21-Z20</f>
        <v>7.9400000000000013</v>
      </c>
      <c r="AB21" s="21">
        <v>45.5</v>
      </c>
      <c r="AC21" s="25">
        <f>AB21-AB20</f>
        <v>2.7000000000000028</v>
      </c>
      <c r="AD21" s="21"/>
      <c r="AE21" s="21"/>
      <c r="AF21">
        <f>(AG21 - AH21)/COS(RADIANS(C20))</f>
        <v>68.636528679790842</v>
      </c>
      <c r="AG21">
        <v>85.5</v>
      </c>
      <c r="AH21">
        <v>38.69</v>
      </c>
    </row>
    <row r="22" spans="1:38" ht="14.85" customHeight="1" x14ac:dyDescent="0.25">
      <c r="A22" s="42" t="s">
        <v>71</v>
      </c>
      <c r="B22" s="15">
        <v>188.1</v>
      </c>
      <c r="C22" s="16">
        <v>65.3</v>
      </c>
      <c r="D22" s="16"/>
      <c r="E22" s="16"/>
      <c r="F22" s="16">
        <f t="shared" si="0"/>
        <v>-0.89944458892185852</v>
      </c>
      <c r="G22" s="16">
        <f t="shared" si="1"/>
        <v>-0.12800991798808989</v>
      </c>
      <c r="H22" s="16">
        <f t="shared" si="2"/>
        <v>0.41786707498422426</v>
      </c>
      <c r="I22">
        <f>F22*F23+G22*G23+H22*H23</f>
        <v>0.99979542412306932</v>
      </c>
      <c r="J22" s="17">
        <f>ACOS(I22)*$M$3</f>
        <v>1.1589701367258243</v>
      </c>
      <c r="K22" s="16"/>
      <c r="L22" s="16"/>
      <c r="M22" s="16"/>
      <c r="N22" s="16"/>
      <c r="O22" s="26"/>
      <c r="P22" s="26"/>
      <c r="Q22" s="26"/>
      <c r="R22" s="26"/>
      <c r="S22" s="26"/>
      <c r="T22" s="26"/>
      <c r="U22" s="26"/>
      <c r="V22" s="26"/>
      <c r="W22" s="26"/>
      <c r="X22" s="27"/>
      <c r="Y22" s="26"/>
      <c r="Z22" s="26">
        <v>19.43</v>
      </c>
      <c r="AA22" s="28"/>
      <c r="AB22" s="26">
        <v>40.700000000000003</v>
      </c>
      <c r="AC22" s="28"/>
      <c r="AD22" s="26"/>
      <c r="AE22" s="26" t="s">
        <v>72</v>
      </c>
      <c r="AL22" s="30" t="s">
        <v>73</v>
      </c>
    </row>
    <row r="23" spans="1:38" x14ac:dyDescent="0.25">
      <c r="A23" s="42"/>
      <c r="B23" s="20">
        <v>188.5</v>
      </c>
      <c r="C23" s="21">
        <v>66.400000000000006</v>
      </c>
      <c r="D23" s="21"/>
      <c r="E23" s="21"/>
      <c r="F23" s="21">
        <f t="shared" si="0"/>
        <v>-0.90629727611553579</v>
      </c>
      <c r="G23" s="21">
        <f t="shared" si="1"/>
        <v>-0.13544703195230218</v>
      </c>
      <c r="H23" s="21">
        <f t="shared" si="2"/>
        <v>0.40034903377037429</v>
      </c>
      <c r="I23" s="21"/>
      <c r="J23" s="23"/>
      <c r="K23" s="21">
        <f>(B23-B22)</f>
        <v>0.40000000000000568</v>
      </c>
      <c r="L23" s="21">
        <f>(C23-C22)</f>
        <v>1.1000000000000085</v>
      </c>
      <c r="M23" s="21">
        <f>2*ASIN(SQRT(SIN(L23/($M$3*2))^2+COS(C22/$M$3)*COS(C23/$M$3)*SIN(K23/2/$M$3)^2))*$M$3</f>
        <v>1.1121008868852584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4"/>
      <c r="Y23" s="21"/>
      <c r="Z23" s="21">
        <v>18.5</v>
      </c>
      <c r="AA23" s="25">
        <f>Z23-Z22</f>
        <v>-0.92999999999999972</v>
      </c>
      <c r="AB23" s="21">
        <v>42</v>
      </c>
      <c r="AC23" s="25">
        <f>AB23-AB22</f>
        <v>1.2999999999999972</v>
      </c>
      <c r="AD23" s="21"/>
      <c r="AE23" s="21"/>
      <c r="AF23">
        <v>90</v>
      </c>
      <c r="AG23">
        <v>71.84</v>
      </c>
      <c r="AH23">
        <v>35.299999999999997</v>
      </c>
    </row>
    <row r="24" spans="1:38" ht="14.85" customHeight="1" x14ac:dyDescent="0.25">
      <c r="A24" s="42" t="s">
        <v>74</v>
      </c>
      <c r="B24" s="15">
        <v>156.5</v>
      </c>
      <c r="C24" s="16">
        <v>42.15</v>
      </c>
      <c r="D24" s="16"/>
      <c r="E24" s="16"/>
      <c r="F24" s="16">
        <f t="shared" si="0"/>
        <v>-0.61541504225729304</v>
      </c>
      <c r="G24" s="16">
        <f t="shared" si="1"/>
        <v>0.26759007839451204</v>
      </c>
      <c r="H24" s="16">
        <f t="shared" si="2"/>
        <v>0.74139050149585339</v>
      </c>
      <c r="I24">
        <f>F24*F25+G24*G25+H24*H25</f>
        <v>0.9998061208375062</v>
      </c>
      <c r="J24" s="17">
        <f>ACOS(I24)*$M$3</f>
        <v>1.1282626596614429</v>
      </c>
      <c r="K24" s="16"/>
      <c r="L24" s="16"/>
      <c r="M24" s="16"/>
      <c r="N24" s="16"/>
      <c r="O24" s="26"/>
      <c r="P24" s="26"/>
      <c r="Q24" s="26"/>
      <c r="R24" s="26"/>
      <c r="S24" s="26"/>
      <c r="T24" s="26"/>
      <c r="U24" s="26"/>
      <c r="V24" s="26"/>
      <c r="W24" s="26"/>
      <c r="X24" s="27"/>
      <c r="Y24" s="26"/>
      <c r="Z24" s="26">
        <v>22.11</v>
      </c>
      <c r="AA24" s="28"/>
      <c r="AB24" s="26">
        <v>35</v>
      </c>
      <c r="AC24" s="28"/>
      <c r="AD24" s="26"/>
      <c r="AE24" s="26" t="s">
        <v>75</v>
      </c>
      <c r="AI24" t="s">
        <v>93</v>
      </c>
      <c r="AL24" t="s">
        <v>76</v>
      </c>
    </row>
    <row r="25" spans="1:38" x14ac:dyDescent="0.25">
      <c r="A25" s="42"/>
      <c r="B25" s="20">
        <v>155</v>
      </c>
      <c r="C25" s="21">
        <v>42.65</v>
      </c>
      <c r="D25" s="21"/>
      <c r="E25" s="21"/>
      <c r="F25" s="21">
        <f t="shared" si="0"/>
        <v>-0.61403990827545452</v>
      </c>
      <c r="G25" s="21">
        <f t="shared" si="1"/>
        <v>0.28633151395249795</v>
      </c>
      <c r="H25" s="21">
        <f t="shared" si="2"/>
        <v>0.73550612177108476</v>
      </c>
      <c r="I25" s="21"/>
      <c r="J25" s="23"/>
      <c r="K25" s="21">
        <f>(B25-B24)</f>
        <v>-1.5</v>
      </c>
      <c r="L25" s="21">
        <f>(C25-C24)</f>
        <v>0.5</v>
      </c>
      <c r="M25" s="21">
        <f>2*ASIN(SQRT(SIN(L25/($M$3*2))^2+COS(C24/$M$3)*COS(C25/$M$3)*SIN(K25/2/$M$3)^2))*$M$3</f>
        <v>1.2152787853893494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4"/>
      <c r="Y25" s="21"/>
      <c r="Z25" s="21">
        <v>21.5</v>
      </c>
      <c r="AA25" s="25">
        <f>Z25-Z24</f>
        <v>-0.60999999999999943</v>
      </c>
      <c r="AB25" s="21">
        <v>34.5</v>
      </c>
      <c r="AC25" s="25">
        <f>AB25-AB24</f>
        <v>-0.5</v>
      </c>
      <c r="AD25" s="21"/>
      <c r="AE25" s="21"/>
      <c r="AF25">
        <f>(AG25 - AH25)/COS(RADIANS(C24))</f>
        <v>69.598949453967549</v>
      </c>
      <c r="AG25">
        <v>68.7</v>
      </c>
      <c r="AH25">
        <v>17.100000000000001</v>
      </c>
    </row>
    <row r="26" spans="1:38" ht="14.85" customHeight="1" x14ac:dyDescent="0.25">
      <c r="A26" s="42" t="s">
        <v>77</v>
      </c>
      <c r="B26" s="15">
        <v>319.60000000000002</v>
      </c>
      <c r="C26" s="16">
        <v>46.2</v>
      </c>
      <c r="D26" s="16"/>
      <c r="E26" s="16"/>
      <c r="F26" s="16">
        <f t="shared" si="0"/>
        <v>0.54964805908608472</v>
      </c>
      <c r="G26" s="16">
        <f t="shared" si="1"/>
        <v>-0.46778717071647857</v>
      </c>
      <c r="H26" s="16">
        <f t="shared" si="2"/>
        <v>0.69214317453542229</v>
      </c>
      <c r="I26">
        <f>F26*F27+G26*G27+H26*H27</f>
        <v>0.95633880753565292</v>
      </c>
      <c r="J26" s="17">
        <f>ACOS(I26)*$M$3</f>
        <v>16.993325696541159</v>
      </c>
      <c r="K26" s="16"/>
      <c r="L26" s="16"/>
      <c r="M26" s="16"/>
      <c r="N26" s="16"/>
      <c r="O26" s="26"/>
      <c r="P26" s="26"/>
      <c r="Q26" s="26"/>
      <c r="R26" s="26"/>
      <c r="S26" s="26"/>
      <c r="T26" s="26"/>
      <c r="U26" s="26"/>
      <c r="V26" s="26"/>
      <c r="W26" s="26"/>
      <c r="X26" s="27"/>
      <c r="Y26" s="26"/>
      <c r="Z26" s="26">
        <v>17.100000000000001</v>
      </c>
      <c r="AA26" s="28"/>
      <c r="AB26" s="26">
        <v>36.5</v>
      </c>
      <c r="AC26" s="28"/>
      <c r="AD26" s="26"/>
      <c r="AE26" s="26" t="s">
        <v>62</v>
      </c>
      <c r="AL26" s="30" t="s">
        <v>78</v>
      </c>
    </row>
    <row r="27" spans="1:38" x14ac:dyDescent="0.25">
      <c r="A27" s="42"/>
      <c r="B27" s="20">
        <v>311.2</v>
      </c>
      <c r="C27" s="21">
        <v>61.8</v>
      </c>
      <c r="D27" s="21"/>
      <c r="E27" s="21"/>
      <c r="F27" s="21">
        <f t="shared" si="0"/>
        <v>0.58050529054231814</v>
      </c>
      <c r="G27" s="21">
        <f t="shared" si="1"/>
        <v>-0.66310585975957037</v>
      </c>
      <c r="H27" s="21">
        <f t="shared" si="2"/>
        <v>0.47255076595525652</v>
      </c>
      <c r="I27" s="21"/>
      <c r="J27" s="23"/>
      <c r="K27" s="21">
        <f>(B27-B26)</f>
        <v>-8.4000000000000341</v>
      </c>
      <c r="L27" s="21">
        <f>(C27-C26)</f>
        <v>15.599999999999994</v>
      </c>
      <c r="M27" s="21">
        <f>2*ASIN(SQRT(SIN(L27/($M$3*2))^2+COS(C26/$M$3)*COS(C27/$M$3)*SIN(K27/2/$M$3)^2))*$M$3</f>
        <v>16.330889427710311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4"/>
      <c r="Y27" s="21"/>
      <c r="Z27" s="21">
        <v>24.1</v>
      </c>
      <c r="AA27" s="25">
        <f>Z27-Z26</f>
        <v>7</v>
      </c>
      <c r="AB27" s="21">
        <v>39.799999999999997</v>
      </c>
      <c r="AC27" s="25">
        <f>AB27-AB26</f>
        <v>3.2999999999999972</v>
      </c>
      <c r="AD27" s="21"/>
      <c r="AE27" s="21"/>
      <c r="AF27">
        <v>31.6</v>
      </c>
      <c r="AG27">
        <v>58.4</v>
      </c>
      <c r="AH27">
        <v>21.3</v>
      </c>
      <c r="AI27" t="s">
        <v>101</v>
      </c>
    </row>
    <row r="28" spans="1:38" ht="14.85" customHeight="1" x14ac:dyDescent="0.25">
      <c r="A28" s="42" t="s">
        <v>79</v>
      </c>
      <c r="B28" s="15">
        <v>171.8</v>
      </c>
      <c r="C28" s="16">
        <v>39.5</v>
      </c>
      <c r="D28" s="16"/>
      <c r="E28" s="16"/>
      <c r="F28" s="16">
        <f t="shared" si="0"/>
        <v>-0.62957510251657811</v>
      </c>
      <c r="G28" s="16">
        <f t="shared" si="1"/>
        <v>9.0723160381905796E-2</v>
      </c>
      <c r="H28" s="16">
        <f t="shared" si="2"/>
        <v>0.77162458388879707</v>
      </c>
      <c r="I28">
        <f>F28*F29+G28*G29+H28*H29</f>
        <v>0.96309434082178713</v>
      </c>
      <c r="J28" s="17">
        <f>ACOS(I28)*$M$3</f>
        <v>15.614529575769673</v>
      </c>
      <c r="K28" s="16"/>
      <c r="L28" s="16"/>
      <c r="M28" s="16"/>
      <c r="N28" s="16"/>
      <c r="O28" s="26"/>
      <c r="P28" s="26"/>
      <c r="Q28" s="26"/>
      <c r="R28" s="26"/>
      <c r="S28" s="26"/>
      <c r="T28" s="26"/>
      <c r="U28" s="26"/>
      <c r="V28" s="26"/>
      <c r="W28" s="26"/>
      <c r="X28" s="27"/>
      <c r="Y28" s="26"/>
      <c r="Z28" s="26">
        <v>16.600000000000001</v>
      </c>
      <c r="AA28" s="28"/>
      <c r="AB28" s="26">
        <v>36.5</v>
      </c>
      <c r="AC28" s="28"/>
      <c r="AD28" s="26"/>
      <c r="AE28" s="26" t="s">
        <v>80</v>
      </c>
      <c r="AI28" t="s">
        <v>93</v>
      </c>
      <c r="AL28" s="30" t="s">
        <v>81</v>
      </c>
    </row>
    <row r="29" spans="1:38" x14ac:dyDescent="0.25">
      <c r="A29" s="42"/>
      <c r="B29" s="20">
        <v>176.1</v>
      </c>
      <c r="C29" s="21">
        <v>54.8</v>
      </c>
      <c r="D29" s="21"/>
      <c r="E29" s="21"/>
      <c r="F29" s="21">
        <f t="shared" si="0"/>
        <v>-0.81525261777596492</v>
      </c>
      <c r="G29" s="21">
        <f t="shared" si="1"/>
        <v>5.5578350596218948E-2</v>
      </c>
      <c r="H29" s="21">
        <f t="shared" si="2"/>
        <v>0.57643231706284481</v>
      </c>
      <c r="I29" s="21"/>
      <c r="J29" s="23"/>
      <c r="K29" s="21">
        <f>(B29-B28)</f>
        <v>4.2999999999999829</v>
      </c>
      <c r="L29" s="21">
        <f>(C29-C28)</f>
        <v>15.299999999999997</v>
      </c>
      <c r="M29" s="21">
        <f>2*ASIN(SQRT(SIN(L29/($M$3*2))^2+COS(C28/$M$3)*COS(C29/$M$3)*SIN(K29/2/$M$3)^2))*$M$3</f>
        <v>15.569539991701191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4"/>
      <c r="Y29" s="21"/>
      <c r="Z29" s="21">
        <v>16.3</v>
      </c>
      <c r="AA29" s="25">
        <f>Z29-Z28</f>
        <v>-0.30000000000000071</v>
      </c>
      <c r="AB29" s="21">
        <v>39.799999999999997</v>
      </c>
      <c r="AC29" s="25">
        <f>AB29-AB28</f>
        <v>3.2999999999999972</v>
      </c>
      <c r="AD29" s="21"/>
      <c r="AE29" s="21"/>
      <c r="AF29">
        <f>(AG29 - AH29)/COS(RADIANS(C28))</f>
        <v>63.40777763351214</v>
      </c>
      <c r="AG29">
        <v>72.239999999999995</v>
      </c>
      <c r="AH29">
        <v>23.312999999999999</v>
      </c>
    </row>
    <row r="30" spans="1:38" ht="14.85" customHeight="1" x14ac:dyDescent="0.25">
      <c r="A30" s="42" t="s">
        <v>82</v>
      </c>
      <c r="B30" s="15">
        <v>243.6</v>
      </c>
      <c r="C30" s="16">
        <v>17.899999999999999</v>
      </c>
      <c r="D30" s="16"/>
      <c r="E30" s="16"/>
      <c r="F30" s="16">
        <f t="shared" si="0"/>
        <v>-0.13666156601551877</v>
      </c>
      <c r="G30" s="16">
        <f t="shared" si="1"/>
        <v>-0.27530293618249257</v>
      </c>
      <c r="H30" s="16">
        <f t="shared" si="2"/>
        <v>0.95159440398915984</v>
      </c>
      <c r="I30">
        <f>F30*F31+G30*G31+H30*H31</f>
        <v>0.99978919371747721</v>
      </c>
      <c r="J30" s="17">
        <f>ACOS(I30)*$M$3</f>
        <v>1.1764867360917508</v>
      </c>
      <c r="K30" s="16"/>
      <c r="L30" s="16"/>
      <c r="M30" s="16"/>
      <c r="N30" s="16"/>
      <c r="O30" s="26"/>
      <c r="P30" s="26"/>
      <c r="Q30" s="26"/>
      <c r="R30" s="26"/>
      <c r="S30" s="26"/>
      <c r="T30" s="26"/>
      <c r="U30" s="26"/>
      <c r="V30" s="26"/>
      <c r="W30" s="26"/>
      <c r="X30" s="27"/>
      <c r="Y30" s="26"/>
      <c r="Z30" s="26">
        <v>17.399999999999999</v>
      </c>
      <c r="AA30" s="28"/>
      <c r="AB30" s="26"/>
      <c r="AC30" s="28"/>
      <c r="AD30" s="26"/>
      <c r="AE30" s="26"/>
      <c r="AI30" t="s">
        <v>93</v>
      </c>
      <c r="AL30" t="s">
        <v>83</v>
      </c>
    </row>
    <row r="31" spans="1:38" x14ac:dyDescent="0.25">
      <c r="A31" s="42"/>
      <c r="B31" s="20">
        <v>242.2</v>
      </c>
      <c r="C31" s="21">
        <v>16.8</v>
      </c>
      <c r="D31" s="21"/>
      <c r="E31" s="21"/>
      <c r="F31" s="21">
        <f t="shared" si="0"/>
        <v>-0.13480056981370539</v>
      </c>
      <c r="G31" s="21">
        <f t="shared" si="1"/>
        <v>-0.25567202787445914</v>
      </c>
      <c r="H31" s="21">
        <f t="shared" si="2"/>
        <v>0.95731949762890656</v>
      </c>
      <c r="I31" s="21"/>
      <c r="J31" s="23"/>
      <c r="K31" s="21">
        <f>(B31-B30)</f>
        <v>-1.4000000000000057</v>
      </c>
      <c r="L31" s="21">
        <f>(C31-C30)</f>
        <v>-1.0999999999999979</v>
      </c>
      <c r="M31" s="21">
        <f>2*ASIN(SQRT(SIN(L31/($M$3*2))^2+COS(C30/$M$3)*COS(C31/$M$3)*SIN(K31/2/$M$3)^2))*$M$3</f>
        <v>1.7307866268248375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4"/>
      <c r="Y31" s="21"/>
      <c r="Z31" s="21">
        <v>16.7</v>
      </c>
      <c r="AA31" s="25">
        <f>Z31-Z30</f>
        <v>-0.69999999999999929</v>
      </c>
      <c r="AB31" s="21"/>
      <c r="AC31" s="25"/>
      <c r="AD31" s="21"/>
      <c r="AE31" s="21"/>
      <c r="AF31">
        <f>(AG31 - AH31)/COS(RADIANS(C30))</f>
        <v>73.455665265614513</v>
      </c>
      <c r="AG31">
        <v>81.3</v>
      </c>
      <c r="AH31">
        <v>11.4</v>
      </c>
    </row>
    <row r="32" spans="1:38" ht="14.85" customHeight="1" x14ac:dyDescent="0.25">
      <c r="A32" s="42" t="s">
        <v>84</v>
      </c>
      <c r="B32" s="15">
        <v>129.30000000000001</v>
      </c>
      <c r="C32" s="16">
        <v>33.4</v>
      </c>
      <c r="D32" s="16"/>
      <c r="E32" s="16"/>
      <c r="F32" s="16">
        <f t="shared" si="0"/>
        <v>-0.34866397006900129</v>
      </c>
      <c r="G32" s="16">
        <f t="shared" si="1"/>
        <v>0.42598413182653339</v>
      </c>
      <c r="H32" s="16">
        <f t="shared" si="2"/>
        <v>0.83484786363008512</v>
      </c>
      <c r="I32">
        <f>F32*F33+G32*G33+H32*H33</f>
        <v>0.99976951405836356</v>
      </c>
      <c r="J32" s="17">
        <f>ACOS(I32)*$M$3</f>
        <v>1.2301786716973837</v>
      </c>
      <c r="K32" s="16"/>
      <c r="L32" s="16"/>
      <c r="M32" s="16"/>
      <c r="N32" s="16"/>
      <c r="O32" s="26"/>
      <c r="P32" s="26"/>
      <c r="Q32" s="26"/>
      <c r="R32" s="26"/>
      <c r="S32" s="26"/>
      <c r="T32" s="26"/>
      <c r="U32" s="26"/>
      <c r="V32" s="26"/>
      <c r="W32" s="26"/>
      <c r="X32" s="27"/>
      <c r="Y32" s="26"/>
      <c r="Z32" s="26">
        <v>18.600000000000001</v>
      </c>
      <c r="AA32" s="28"/>
      <c r="AB32" s="26"/>
      <c r="AC32" s="28"/>
      <c r="AD32" s="26"/>
      <c r="AE32" s="26"/>
      <c r="AL32" t="s">
        <v>85</v>
      </c>
    </row>
    <row r="33" spans="1:38" x14ac:dyDescent="0.25">
      <c r="A33" s="42"/>
      <c r="B33" s="20">
        <v>129.80000000000001</v>
      </c>
      <c r="C33" s="21">
        <v>32.200000000000003</v>
      </c>
      <c r="D33" s="21"/>
      <c r="E33" s="21"/>
      <c r="F33" s="21">
        <f t="shared" si="0"/>
        <v>-0.34109927153067038</v>
      </c>
      <c r="G33" s="21">
        <f t="shared" si="1"/>
        <v>0.40940006348451075</v>
      </c>
      <c r="H33" s="21">
        <f t="shared" si="2"/>
        <v>0.84619316646976328</v>
      </c>
      <c r="J33" s="17"/>
      <c r="K33" s="21">
        <f>(B33-B32)</f>
        <v>0.5</v>
      </c>
      <c r="L33" s="21">
        <f>(C33-C32)</f>
        <v>-1.1999999999999957</v>
      </c>
      <c r="M33" s="21">
        <f>2*ASIN(SQRT(SIN(L33/($M$3*2))^2+COS(C32/$M$3)*COS(C33/$M$3)*SIN(K33/2/$M$3)^2))*$M$3</f>
        <v>1.2714649907446554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4"/>
      <c r="Y33" s="21"/>
      <c r="Z33" s="21">
        <v>17.2</v>
      </c>
      <c r="AA33" s="25">
        <f>Z33-Z32</f>
        <v>-1.4000000000000021</v>
      </c>
      <c r="AB33" s="21">
        <v>33.299999999999997</v>
      </c>
      <c r="AC33" s="25"/>
      <c r="AD33" s="21"/>
      <c r="AE33" s="21"/>
      <c r="AI33" t="s">
        <v>86</v>
      </c>
    </row>
    <row r="34" spans="1:38" ht="14.85" customHeight="1" x14ac:dyDescent="0.25">
      <c r="A34" s="42" t="s">
        <v>87</v>
      </c>
      <c r="B34" s="15">
        <v>109.7</v>
      </c>
      <c r="C34" s="16">
        <v>62.1</v>
      </c>
      <c r="D34" s="16"/>
      <c r="E34" s="16"/>
      <c r="F34" s="16">
        <f t="shared" si="0"/>
        <v>-0.297913201444514</v>
      </c>
      <c r="G34" s="16">
        <f t="shared" si="1"/>
        <v>0.8320393093519225</v>
      </c>
      <c r="H34" s="16">
        <f t="shared" si="2"/>
        <v>0.4679298153550982</v>
      </c>
      <c r="I34">
        <f>F34*F35+G34*G35+H34*H35</f>
        <v>0.96479245345550102</v>
      </c>
      <c r="J34" s="17">
        <f>ACOS(I34)*$M$3</f>
        <v>15.248882596919834</v>
      </c>
      <c r="K34" s="16"/>
      <c r="L34" s="16"/>
      <c r="M34" s="16"/>
      <c r="N34" s="16"/>
      <c r="O34" s="26"/>
      <c r="P34" s="26"/>
      <c r="Q34" s="26"/>
      <c r="R34" s="26"/>
      <c r="S34" s="26"/>
      <c r="T34" s="26"/>
      <c r="U34" s="26"/>
      <c r="V34" s="26"/>
      <c r="W34" s="26"/>
      <c r="X34" s="27"/>
      <c r="Y34" s="26"/>
      <c r="Z34" s="26">
        <v>16.45</v>
      </c>
      <c r="AA34" s="28"/>
      <c r="AB34" s="26"/>
      <c r="AC34" s="28"/>
      <c r="AD34" s="26"/>
      <c r="AE34" s="26"/>
      <c r="AI34" t="s">
        <v>98</v>
      </c>
      <c r="AL34" s="33" t="s">
        <v>88</v>
      </c>
    </row>
    <row r="35" spans="1:38" x14ac:dyDescent="0.25">
      <c r="A35" s="42"/>
      <c r="B35" s="20">
        <v>117.9</v>
      </c>
      <c r="C35" s="21">
        <v>48.4</v>
      </c>
      <c r="D35" s="21"/>
      <c r="E35" s="21"/>
      <c r="F35" s="21">
        <f t="shared" si="0"/>
        <v>-0.34991701973758016</v>
      </c>
      <c r="G35" s="21">
        <f t="shared" si="1"/>
        <v>0.66087825088495311</v>
      </c>
      <c r="H35" s="21">
        <f t="shared" si="2"/>
        <v>0.66392621337405777</v>
      </c>
      <c r="I35" s="21"/>
      <c r="J35" s="23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4"/>
      <c r="Y35" s="21"/>
      <c r="Z35" s="21">
        <v>14.9</v>
      </c>
      <c r="AA35" s="25">
        <f>Z35-Z34</f>
        <v>-1.5499999999999989</v>
      </c>
      <c r="AB35" s="21">
        <v>25</v>
      </c>
      <c r="AC35" s="25"/>
      <c r="AD35" s="21"/>
      <c r="AE35" s="21"/>
      <c r="AF35">
        <v>37.835000000000001</v>
      </c>
      <c r="AG35">
        <v>37.619999999999997</v>
      </c>
      <c r="AH35">
        <v>19.920000000000002</v>
      </c>
      <c r="AI35" t="s">
        <v>99</v>
      </c>
    </row>
    <row r="36" spans="1:38" x14ac:dyDescent="0.25">
      <c r="A36" s="34" t="s">
        <v>89</v>
      </c>
      <c r="B36" s="35">
        <v>238</v>
      </c>
      <c r="C36" s="35">
        <v>12.4</v>
      </c>
      <c r="D36" s="35"/>
      <c r="E36" s="35"/>
      <c r="F36" s="35">
        <f t="shared" si="0"/>
        <v>-0.11379238731362261</v>
      </c>
      <c r="G36" s="35">
        <f t="shared" si="1"/>
        <v>-0.18210588463661187</v>
      </c>
      <c r="H36" s="35">
        <f t="shared" si="2"/>
        <v>0.97667227838727122</v>
      </c>
      <c r="I36">
        <f>F36*F37+G36*G37+H36*H37</f>
        <v>0.99912141027292201</v>
      </c>
      <c r="J36" s="17">
        <f>ACOS(I36)*$M$3</f>
        <v>2.4019418746538705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6"/>
      <c r="Y36" s="35"/>
      <c r="Z36" s="35">
        <v>14.9</v>
      </c>
      <c r="AA36" s="37"/>
      <c r="AB36" s="35">
        <v>27.2</v>
      </c>
      <c r="AC36" s="37"/>
      <c r="AD36" s="35"/>
      <c r="AE36" s="35" t="s">
        <v>80</v>
      </c>
      <c r="AI36" t="s">
        <v>96</v>
      </c>
      <c r="AL36" s="30" t="s">
        <v>90</v>
      </c>
    </row>
    <row r="37" spans="1:38" x14ac:dyDescent="0.25">
      <c r="A37" s="34"/>
      <c r="B37" s="38">
        <v>237.5</v>
      </c>
      <c r="C37" s="38">
        <v>10</v>
      </c>
      <c r="D37" s="38"/>
      <c r="E37" s="38"/>
      <c r="F37" s="21">
        <f t="shared" si="0"/>
        <v>-9.3301098438735255E-2</v>
      </c>
      <c r="G37" s="21">
        <f t="shared" si="1"/>
        <v>-0.14645338701771687</v>
      </c>
      <c r="H37" s="21">
        <f t="shared" si="2"/>
        <v>0.98480775304683921</v>
      </c>
      <c r="I37" s="38"/>
      <c r="J37" s="39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40"/>
      <c r="Y37" s="38"/>
      <c r="Z37" s="38">
        <v>14.4</v>
      </c>
      <c r="AA37" s="25">
        <f>Z37-Z36</f>
        <v>-0.5</v>
      </c>
      <c r="AB37" s="38">
        <v>27.2</v>
      </c>
      <c r="AC37" s="25">
        <f>AB37-AB36</f>
        <v>0</v>
      </c>
      <c r="AD37" s="38"/>
      <c r="AE37" s="38"/>
      <c r="AF37">
        <v>65.56</v>
      </c>
      <c r="AG37">
        <v>78.132999999999996</v>
      </c>
      <c r="AH37">
        <v>14.103</v>
      </c>
      <c r="AI37" t="s">
        <v>97</v>
      </c>
    </row>
    <row r="39" spans="1:38" x14ac:dyDescent="0.25">
      <c r="C39" s="32"/>
      <c r="D39" t="s">
        <v>91</v>
      </c>
    </row>
    <row r="40" spans="1:38" x14ac:dyDescent="0.25">
      <c r="C40" s="41"/>
      <c r="D40" t="s">
        <v>92</v>
      </c>
    </row>
  </sheetData>
  <mergeCells count="32">
    <mergeCell ref="O1:O2"/>
    <mergeCell ref="P1:P2"/>
    <mergeCell ref="Q1:Q2"/>
    <mergeCell ref="R1:R2"/>
    <mergeCell ref="AC1:AC2"/>
    <mergeCell ref="A4:A5"/>
    <mergeCell ref="A6:A7"/>
    <mergeCell ref="A8:A9"/>
    <mergeCell ref="A10:A11"/>
    <mergeCell ref="X1:X2"/>
    <mergeCell ref="Y1:Y2"/>
    <mergeCell ref="Z1:Z2"/>
    <mergeCell ref="AA1:AA2"/>
    <mergeCell ref="AB1:AB2"/>
    <mergeCell ref="S1:S2"/>
    <mergeCell ref="T1:T2"/>
    <mergeCell ref="U1:U2"/>
    <mergeCell ref="V1:V2"/>
    <mergeCell ref="W1:W2"/>
    <mergeCell ref="A1:A2"/>
    <mergeCell ref="A12:A13"/>
    <mergeCell ref="A14:A15"/>
    <mergeCell ref="A16:A17"/>
    <mergeCell ref="A18:A19"/>
    <mergeCell ref="A20:A21"/>
    <mergeCell ref="A32:A33"/>
    <mergeCell ref="A34:A35"/>
    <mergeCell ref="A22:A23"/>
    <mergeCell ref="A24:A25"/>
    <mergeCell ref="A26:A27"/>
    <mergeCell ref="A28:A29"/>
    <mergeCell ref="A30:A31"/>
  </mergeCells>
  <hyperlinks>
    <hyperlink ref="AL34" r:id="rId1" location="/?sstr=3842925&amp;view=OPC" xr:uid="{00000000-0004-0000-0000-000000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G. Brown</dc:creator>
  <dc:description/>
  <cp:lastModifiedBy>Ian Chow</cp:lastModifiedBy>
  <cp:revision>4</cp:revision>
  <dcterms:created xsi:type="dcterms:W3CDTF">2023-05-02T15:20:39Z</dcterms:created>
  <dcterms:modified xsi:type="dcterms:W3CDTF">2024-03-21T05:19:41Z</dcterms:modified>
  <dc:language>en-CA</dc:language>
</cp:coreProperties>
</file>