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D:\oldE\fireballs\"/>
    </mc:Choice>
  </mc:AlternateContent>
  <xr:revisionPtr revIDLastSave="0" documentId="13_ncr:1_{88F2928B-F4E4-480D-97C7-75EB5FB6EEB4}" xr6:coauthVersionLast="46" xr6:coauthVersionMax="46" xr10:uidLastSave="{00000000-0000-0000-0000-000000000000}"/>
  <bookViews>
    <workbookView xWindow="26025" yWindow="1710" windowWidth="32355" windowHeight="12825" tabRatio="757" xr2:uid="{00000000-000D-0000-FFFF-FFFF00000000}"/>
  </bookViews>
  <sheets>
    <sheet name="Fireball-meteorite-orbits" sheetId="1" r:id="rId1"/>
    <sheet name="LL-orbits" sheetId="4" r:id="rId2"/>
    <sheet name="PE-calc" sheetId="2" r:id="rId3"/>
    <sheet name="References" sheetId="3" r:id="rId4"/>
    <sheet name="Asteroid-family-associations" sheetId="5" r:id="rId5"/>
    <sheet name="Sheet2"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 l="1"/>
  <c r="AD37" i="1"/>
  <c r="AM37" i="1"/>
  <c r="BF37"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8" i="1"/>
  <c r="BF39" i="1"/>
  <c r="BF40" i="1"/>
  <c r="BF41" i="1"/>
  <c r="BF42" i="1"/>
  <c r="BF3" i="1"/>
  <c r="B2" i="6" l="1"/>
  <c r="CI4" i="1" l="1"/>
  <c r="CI5" i="1"/>
  <c r="CI6" i="1"/>
  <c r="CI7" i="1"/>
  <c r="CI8" i="1"/>
  <c r="CI9" i="1"/>
  <c r="CI10" i="1"/>
  <c r="CI11" i="1"/>
  <c r="CI12" i="1"/>
  <c r="CI13" i="1"/>
  <c r="CI14" i="1"/>
  <c r="CI15" i="1"/>
  <c r="CI16" i="1"/>
  <c r="CI17" i="1"/>
  <c r="CI18" i="1"/>
  <c r="CI19" i="1"/>
  <c r="CI20" i="1"/>
  <c r="CI21" i="1"/>
  <c r="CI22" i="1"/>
  <c r="CI23" i="1"/>
  <c r="CI24" i="1"/>
  <c r="CI25" i="1"/>
  <c r="CI26" i="1"/>
  <c r="CI27" i="1"/>
  <c r="CI28" i="1"/>
  <c r="CI29" i="1"/>
  <c r="CI30" i="1"/>
  <c r="CI31" i="1"/>
  <c r="CI32" i="1"/>
  <c r="CI33" i="1"/>
  <c r="CI34" i="1"/>
  <c r="CI35" i="1"/>
  <c r="CI36" i="1"/>
  <c r="CI37" i="1"/>
  <c r="CI38" i="1"/>
  <c r="CI39" i="1"/>
  <c r="CI40" i="1"/>
  <c r="CI41" i="1"/>
  <c r="CI42" i="1"/>
  <c r="CI3" i="1"/>
  <c r="BL42" i="1"/>
  <c r="AM42" i="1"/>
  <c r="AD42" i="1"/>
  <c r="BL35" i="1" l="1"/>
  <c r="Z35" i="1"/>
  <c r="BL36" i="1"/>
  <c r="AD36" i="1"/>
  <c r="BL37" i="1"/>
  <c r="BL38" i="1"/>
  <c r="BL39" i="1"/>
  <c r="AM39" i="1"/>
  <c r="AD39" i="1"/>
  <c r="Q39" i="1"/>
  <c r="BL40" i="1"/>
  <c r="Q40" i="1"/>
  <c r="AM40" i="1"/>
  <c r="AD40" i="1"/>
  <c r="BL41" i="1"/>
  <c r="AM41" i="1"/>
  <c r="AD41" i="1"/>
  <c r="Q41" i="1"/>
  <c r="AM9" i="1"/>
  <c r="AM10" i="1"/>
  <c r="AM13" i="1"/>
  <c r="AM28" i="1"/>
  <c r="AM29" i="1"/>
  <c r="AM30" i="1"/>
  <c r="AM31" i="1"/>
  <c r="AM32" i="1"/>
  <c r="AM33" i="1"/>
  <c r="Z4" i="1"/>
  <c r="AM4" i="1" s="1"/>
  <c r="Z6" i="1"/>
  <c r="AM6" i="1" s="1"/>
  <c r="Z9" i="1"/>
  <c r="Z10" i="1"/>
  <c r="Z11" i="1"/>
  <c r="AM11" i="1" s="1"/>
  <c r="Z13" i="1"/>
  <c r="Z15" i="1"/>
  <c r="Z16" i="1"/>
  <c r="AM16" i="1" s="1"/>
  <c r="Z17" i="1"/>
  <c r="AM17" i="1" s="1"/>
  <c r="Z18" i="1"/>
  <c r="AM18" i="1" s="1"/>
  <c r="Z20" i="1"/>
  <c r="AM20" i="1" s="1"/>
  <c r="Z21" i="1"/>
  <c r="AM21" i="1" s="1"/>
  <c r="Z22" i="1"/>
  <c r="AM22" i="1" s="1"/>
  <c r="Z23" i="1"/>
  <c r="AM23" i="1" s="1"/>
  <c r="Z24" i="1"/>
  <c r="AM24" i="1" s="1"/>
  <c r="Z25" i="1"/>
  <c r="Z26" i="1"/>
  <c r="AM26" i="1" s="1"/>
  <c r="Z27" i="1"/>
  <c r="AM27" i="1" s="1"/>
  <c r="Z28" i="1"/>
  <c r="Z29" i="1"/>
  <c r="Z30" i="1"/>
  <c r="Z31" i="1"/>
  <c r="Z32" i="1"/>
  <c r="Z33" i="1"/>
  <c r="Z34" i="1"/>
  <c r="AM34" i="1" s="1"/>
  <c r="Z3" i="1"/>
  <c r="AM3" i="1" s="1"/>
  <c r="BF4" i="4"/>
  <c r="BF5" i="4"/>
  <c r="BF6" i="4"/>
  <c r="BF7" i="4"/>
  <c r="BF8" i="4"/>
  <c r="BF3" i="4"/>
  <c r="BE4" i="4"/>
  <c r="BE5" i="4"/>
  <c r="BE6" i="4"/>
  <c r="BE7" i="4"/>
  <c r="BE8" i="4"/>
  <c r="BE3" i="4"/>
  <c r="Q8" i="4"/>
  <c r="BH7" i="4"/>
  <c r="Q7" i="4"/>
  <c r="BH6" i="4"/>
  <c r="AB6" i="4"/>
  <c r="Q6" i="4"/>
  <c r="BH5" i="4"/>
  <c r="AB5" i="4"/>
  <c r="Q5" i="4"/>
  <c r="BH4" i="4"/>
  <c r="Q4" i="4"/>
  <c r="BH3" i="4"/>
  <c r="AB3" i="4"/>
  <c r="Q3" i="4"/>
  <c r="B3" i="4"/>
  <c r="B19" i="2"/>
  <c r="O2" i="2" l="1"/>
  <c r="O3" i="2"/>
  <c r="O4" i="2"/>
  <c r="O5" i="2"/>
  <c r="O6" i="2"/>
  <c r="O7" i="2"/>
  <c r="O8" i="2"/>
  <c r="O9" i="2"/>
  <c r="O10" i="2"/>
  <c r="O11" i="2"/>
  <c r="O12" i="2"/>
  <c r="O13" i="2"/>
  <c r="O14" i="2"/>
  <c r="O15" i="2"/>
  <c r="O16" i="2"/>
  <c r="O17" i="2"/>
  <c r="O18" i="2"/>
  <c r="O19" i="2"/>
  <c r="O20" i="2"/>
  <c r="O21" i="2"/>
  <c r="Q21" i="2" s="1"/>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 i="2"/>
  <c r="Q34" i="1" l="1"/>
  <c r="Q33" i="1"/>
  <c r="Q32" i="1"/>
  <c r="Q31" i="1"/>
  <c r="Q30" i="1" l="1"/>
  <c r="AD27" i="1" l="1"/>
  <c r="BL34" i="1" l="1"/>
  <c r="BL33" i="1"/>
  <c r="BL32" i="1"/>
  <c r="B12" i="2"/>
  <c r="B17" i="2" s="1"/>
  <c r="BL31" i="1"/>
  <c r="BL30" i="1" l="1"/>
  <c r="AD30" i="1"/>
  <c r="Q28" i="1" l="1"/>
  <c r="BL28" i="1"/>
  <c r="AD28" i="1"/>
  <c r="AD29" i="1" l="1"/>
  <c r="BL29" i="1"/>
  <c r="Q29" i="1"/>
  <c r="AD26" i="1"/>
  <c r="Q26" i="1"/>
  <c r="BL26" i="1"/>
  <c r="AD25" i="1"/>
  <c r="AD21" i="1"/>
  <c r="Q21" i="1"/>
  <c r="AD23" i="1"/>
  <c r="Q25" i="1" l="1"/>
  <c r="BL27" i="1"/>
  <c r="BL25" i="1" l="1"/>
  <c r="BL21" i="1"/>
  <c r="B6" i="2" l="1"/>
  <c r="Q22" i="1" l="1"/>
  <c r="Q16" i="1"/>
  <c r="Q14" i="1"/>
  <c r="Q8" i="1"/>
  <c r="Q4" i="1"/>
  <c r="Q5" i="1"/>
  <c r="Q6" i="1"/>
  <c r="Q7" i="1"/>
  <c r="Q9" i="1"/>
  <c r="Q10" i="1"/>
  <c r="Q11" i="1"/>
  <c r="Q12" i="1"/>
  <c r="Q13" i="1"/>
  <c r="Q15" i="1"/>
  <c r="Q17" i="1"/>
  <c r="Q18" i="1"/>
  <c r="Q19" i="1"/>
  <c r="Q20" i="1"/>
  <c r="Q23" i="1"/>
  <c r="Q24" i="1"/>
  <c r="Q3" i="1"/>
  <c r="BL24" i="1"/>
  <c r="BL4" i="1"/>
  <c r="BL5" i="1"/>
  <c r="BL6" i="1"/>
  <c r="BL7" i="1"/>
  <c r="BL8" i="1"/>
  <c r="BL9" i="1"/>
  <c r="BL10" i="1"/>
  <c r="BL11" i="1"/>
  <c r="BL12" i="1"/>
  <c r="BL13" i="1"/>
  <c r="BL14" i="1"/>
  <c r="BL15" i="1"/>
  <c r="BL16" i="1"/>
  <c r="BL17" i="1"/>
  <c r="BL18" i="1"/>
  <c r="BL19" i="1"/>
  <c r="BL20" i="1"/>
  <c r="BL22" i="1"/>
  <c r="BL23" i="1"/>
  <c r="BL3" i="1"/>
  <c r="B4" i="1"/>
  <c r="B5" i="1" s="1"/>
  <c r="B6" i="1" s="1"/>
  <c r="B7" i="1" s="1"/>
  <c r="B8" i="1" s="1"/>
  <c r="B9" i="1" s="1"/>
  <c r="B10" i="1" s="1"/>
  <c r="B11" i="1" s="1"/>
  <c r="B12" i="1" s="1"/>
  <c r="B13" i="1" s="1"/>
  <c r="B14" i="1" s="1"/>
  <c r="B15" i="1" s="1"/>
  <c r="B16" i="1" s="1"/>
  <c r="B17" i="1" s="1"/>
  <c r="B18" i="1" s="1"/>
  <c r="B19" i="1" s="1"/>
  <c r="B20" i="1" s="1"/>
  <c r="AD22" i="1"/>
  <c r="AD16" i="1"/>
  <c r="AD20" i="1"/>
  <c r="AD19" i="1"/>
  <c r="AD18" i="1"/>
  <c r="AD17" i="1"/>
  <c r="AD15" i="1"/>
  <c r="AD14" i="1"/>
  <c r="AD13" i="1"/>
  <c r="AD12" i="1"/>
  <c r="AD11" i="1"/>
  <c r="AD10" i="1"/>
  <c r="AD9" i="1"/>
  <c r="AD8" i="1"/>
  <c r="AD7" i="1"/>
  <c r="AD6" i="1"/>
  <c r="AD5" i="1"/>
  <c r="AD4" i="1"/>
  <c r="AD3" i="1"/>
  <c r="B23" i="1"/>
</calcChain>
</file>

<file path=xl/sharedStrings.xml><?xml version="1.0" encoding="utf-8"?>
<sst xmlns="http://schemas.openxmlformats.org/spreadsheetml/2006/main" count="1209" uniqueCount="691">
  <si>
    <t>Tables.</t>
  </si>
  <si>
    <t>Date of Fall (UT)</t>
  </si>
  <si>
    <t>Meteorite Type</t>
  </si>
  <si>
    <t>Recovered Mass (kg)</t>
  </si>
  <si>
    <r>
      <t>V</t>
    </r>
    <r>
      <rPr>
        <vertAlign val="subscript"/>
        <sz val="12"/>
        <color theme="1"/>
        <rFont val="Calibri"/>
        <family val="2"/>
      </rPr>
      <t>∞</t>
    </r>
  </si>
  <si>
    <t>(km/s)</t>
  </si>
  <si>
    <t>i</t>
  </si>
  <si>
    <t>ω</t>
  </si>
  <si>
    <t>Ω</t>
  </si>
  <si>
    <t>Pribram</t>
  </si>
  <si>
    <t>H5</t>
  </si>
  <si>
    <t>Lost City</t>
  </si>
  <si>
    <t>Innisfree</t>
  </si>
  <si>
    <t>L5</t>
  </si>
  <si>
    <t>Peekskill</t>
  </si>
  <si>
    <t>H6</t>
  </si>
  <si>
    <t>Tagish Lake</t>
  </si>
  <si>
    <t>~10</t>
  </si>
  <si>
    <t>Moravka</t>
  </si>
  <si>
    <t>Neuschwanstein</t>
  </si>
  <si>
    <t>EL6</t>
  </si>
  <si>
    <t>Park Forest</t>
  </si>
  <si>
    <t>Villalbeto de la Pena</t>
  </si>
  <si>
    <t>L6</t>
  </si>
  <si>
    <t>Bunburra Rockhole</t>
  </si>
  <si>
    <t>Euc</t>
  </si>
  <si>
    <t>Ure-Anom</t>
  </si>
  <si>
    <t>Buzzard Coulee</t>
  </si>
  <si>
    <t>H4</t>
  </si>
  <si>
    <t>&gt;50</t>
  </si>
  <si>
    <t>Jesenice</t>
  </si>
  <si>
    <t>e</t>
  </si>
  <si>
    <t>Benesov</t>
  </si>
  <si>
    <t>H5/LL3.5</t>
  </si>
  <si>
    <t>Zenith Angle of radiant</t>
  </si>
  <si>
    <t>E (kT)</t>
  </si>
  <si>
    <t>kg</t>
  </si>
  <si>
    <t>mag</t>
  </si>
  <si>
    <t>km</t>
  </si>
  <si>
    <t>deg</t>
  </si>
  <si>
    <t>PE (Type)</t>
  </si>
  <si>
    <r>
      <t>V</t>
    </r>
    <r>
      <rPr>
        <vertAlign val="subscript"/>
        <sz val="11"/>
        <color theme="1"/>
        <rFont val="Times New Roman"/>
        <family val="1"/>
      </rPr>
      <t>final</t>
    </r>
  </si>
  <si>
    <r>
      <t>M</t>
    </r>
    <r>
      <rPr>
        <vertAlign val="subscript"/>
        <sz val="12"/>
        <color theme="1"/>
        <rFont val="Times New Roman"/>
        <family val="1"/>
      </rPr>
      <t>init</t>
    </r>
  </si>
  <si>
    <r>
      <t>M</t>
    </r>
    <r>
      <rPr>
        <vertAlign val="subscript"/>
        <sz val="12"/>
        <color theme="1"/>
        <rFont val="Times New Roman"/>
        <family val="1"/>
      </rPr>
      <t>peak</t>
    </r>
  </si>
  <si>
    <r>
      <t>H</t>
    </r>
    <r>
      <rPr>
        <vertAlign val="subscript"/>
        <sz val="12"/>
        <color theme="1"/>
        <rFont val="Times New Roman"/>
        <family val="1"/>
      </rPr>
      <t>begin</t>
    </r>
  </si>
  <si>
    <r>
      <t>H</t>
    </r>
    <r>
      <rPr>
        <vertAlign val="subscript"/>
        <sz val="12"/>
        <color theme="1"/>
        <rFont val="Times New Roman"/>
        <family val="1"/>
      </rPr>
      <t>end</t>
    </r>
  </si>
  <si>
    <t>Hpeak</t>
  </si>
  <si>
    <t xml:space="preserve"> -</t>
  </si>
  <si>
    <t>1, 1a, 1b</t>
  </si>
  <si>
    <t>Duration</t>
  </si>
  <si>
    <t>(sec)</t>
  </si>
  <si>
    <t>&gt;62</t>
  </si>
  <si>
    <t>4.09</t>
  </si>
  <si>
    <t>3, 3a</t>
  </si>
  <si>
    <t>&gt;47</t>
  </si>
  <si>
    <t>&lt;33</t>
  </si>
  <si>
    <t>&gt;25</t>
  </si>
  <si>
    <t>-</t>
  </si>
  <si>
    <t>&gt;10</t>
  </si>
  <si>
    <t>&gt;40</t>
  </si>
  <si>
    <t>PE=</t>
  </si>
  <si>
    <t>(gcm-3)=</t>
  </si>
  <si>
    <t>(g)=</t>
  </si>
  <si>
    <t>mass_init</t>
  </si>
  <si>
    <t>Speed_init</t>
  </si>
  <si>
    <t>(km/s)=</t>
  </si>
  <si>
    <t>Zangle</t>
  </si>
  <si>
    <t>Z=</t>
  </si>
  <si>
    <t>air dens_end</t>
  </si>
  <si>
    <t>&lt;18</t>
  </si>
  <si>
    <t>&gt;4</t>
  </si>
  <si>
    <t>&gt;65</t>
  </si>
  <si>
    <t>&gt;6</t>
  </si>
  <si>
    <t>12, 12a</t>
  </si>
  <si>
    <t>&gt; 5</t>
  </si>
  <si>
    <t>Grimsby</t>
  </si>
  <si>
    <t>H4-6</t>
  </si>
  <si>
    <t>Kosice</t>
  </si>
  <si>
    <t>&gt;55</t>
  </si>
  <si>
    <t>Mason Gully</t>
  </si>
  <si>
    <t>Sutter's Mill</t>
  </si>
  <si>
    <t>Technique</t>
  </si>
  <si>
    <t>P</t>
  </si>
  <si>
    <t>CV</t>
  </si>
  <si>
    <t>CV,I,S,Sa</t>
  </si>
  <si>
    <t>CV, I,S,Sa</t>
  </si>
  <si>
    <t>CV,I,S</t>
  </si>
  <si>
    <t>CV,I,Sa</t>
  </si>
  <si>
    <t>CV,I</t>
  </si>
  <si>
    <t>P,V,I,S</t>
  </si>
  <si>
    <t>V,I, R</t>
  </si>
  <si>
    <t>CV,I,S, R</t>
  </si>
  <si>
    <t>Maribo</t>
  </si>
  <si>
    <t>CM2</t>
  </si>
  <si>
    <t>P,CV,V,R</t>
  </si>
  <si>
    <t>&lt;30</t>
  </si>
  <si>
    <r>
      <t>α</t>
    </r>
    <r>
      <rPr>
        <vertAlign val="subscript"/>
        <sz val="12"/>
        <color theme="1"/>
        <rFont val="Calibri"/>
        <family val="2"/>
      </rPr>
      <t>g</t>
    </r>
  </si>
  <si>
    <r>
      <t>δ</t>
    </r>
    <r>
      <rPr>
        <vertAlign val="subscript"/>
        <sz val="12"/>
        <color theme="1"/>
        <rFont val="Calibri"/>
        <family val="2"/>
      </rPr>
      <t>g</t>
    </r>
  </si>
  <si>
    <t>192.338</t>
  </si>
  <si>
    <t>17.467</t>
  </si>
  <si>
    <t>(J2000)</t>
  </si>
  <si>
    <t>315.345</t>
  </si>
  <si>
    <t>39.23</t>
  </si>
  <si>
    <t>7.36</t>
  </si>
  <si>
    <t>66.48</t>
  </si>
  <si>
    <t>209</t>
  </si>
  <si>
    <t>-29.3</t>
  </si>
  <si>
    <t>43.5</t>
  </si>
  <si>
    <t>90.4</t>
  </si>
  <si>
    <t>250.1</t>
  </si>
  <si>
    <t>54.96</t>
  </si>
  <si>
    <t>192.33</t>
  </si>
  <si>
    <t>19.54</t>
  </si>
  <si>
    <t>171.8</t>
  </si>
  <si>
    <t>11.2</t>
  </si>
  <si>
    <t>311.4</t>
  </si>
  <si>
    <t>-18</t>
  </si>
  <si>
    <t>80.73</t>
  </si>
  <si>
    <t>-14.21</t>
  </si>
  <si>
    <t>348.1</t>
  </si>
  <si>
    <t>7.6</t>
  </si>
  <si>
    <t>159.9</t>
  </si>
  <si>
    <t>58.7</t>
  </si>
  <si>
    <t>242.61</t>
  </si>
  <si>
    <t>54.97</t>
  </si>
  <si>
    <t>114.3</t>
  </si>
  <si>
    <t>29</t>
  </si>
  <si>
    <t xml:space="preserve">C2 </t>
  </si>
  <si>
    <t>Novato</t>
  </si>
  <si>
    <t>CV,V</t>
  </si>
  <si>
    <t>Number</t>
  </si>
  <si>
    <t>N</t>
  </si>
  <si>
    <t>Daytime/Night/Twilight</t>
  </si>
  <si>
    <t>T</t>
  </si>
  <si>
    <t>D</t>
  </si>
  <si>
    <t>P,S,I</t>
  </si>
  <si>
    <t>2, 2a, 2b</t>
  </si>
  <si>
    <t>A listing of previous meteorite falls having instrumentally measured orbits. All angular elements are J2000.0.</t>
  </si>
  <si>
    <t>2. McCrosky et al. (1971); 2a. Ceplecha (1996); 2b Ceplecha and ReVelle (2005)</t>
  </si>
  <si>
    <t>3. Halliday et al (1978); 3a Halliday et al (1981)</t>
  </si>
  <si>
    <t>1. Ceplecha (1961);  1a Borovicka and Kalenda (2003); 1b Ceplecha (1977);</t>
  </si>
  <si>
    <t>4. Spurny (1994); 4a Borovicka et al (1998)</t>
  </si>
  <si>
    <t>4, 4a</t>
  </si>
  <si>
    <t>5, 5a, 1a</t>
  </si>
  <si>
    <t>5. Brown et al (1994); 5a Ceplecha et al (1996)</t>
  </si>
  <si>
    <t>6, 6a, 6b</t>
  </si>
  <si>
    <t>7, 1a</t>
  </si>
  <si>
    <t>7. Borovicka et al (2003)</t>
  </si>
  <si>
    <t>8; 8a</t>
  </si>
  <si>
    <t>8. Spurny et al. (2003); 8a Spurny et al (2002)</t>
  </si>
  <si>
    <t>10. Trigo-Rodriguez et al (2006); 10a Llorca et al (2005)</t>
  </si>
  <si>
    <t>11. Spurny et al. (2012)</t>
  </si>
  <si>
    <t>12. Jenniskens et al (2009); 12a Welten et al (2010)</t>
  </si>
  <si>
    <t>13, 13a</t>
  </si>
  <si>
    <t>13. Milley et al (2010); 13a Milley, E.P., MSc thesis, U Calgary 2010</t>
  </si>
  <si>
    <t>15. Spurny et al (2010)</t>
  </si>
  <si>
    <t>16. Brown et al (2011); 16a Cartwright et al (2010)</t>
  </si>
  <si>
    <t>17. Borovicka et al. (2012)</t>
  </si>
  <si>
    <t>18 Spurny et al (2012b)</t>
  </si>
  <si>
    <t>19 Jenniskens et al (2012)</t>
  </si>
  <si>
    <t>20 Jenniskens (2012) - pers com</t>
  </si>
  <si>
    <t>1-</t>
  </si>
  <si>
    <r>
      <t xml:space="preserve">Ceplecha Z. 1961. Multiple fall of Pribram meteorites photographed. 1. Double-station photographs of the fireball and their relations to the found meteorites. </t>
    </r>
    <r>
      <rPr>
        <i/>
        <sz val="11"/>
        <color theme="1"/>
        <rFont val="Calibri"/>
        <family val="2"/>
        <scheme val="minor"/>
      </rPr>
      <t>Bulletin of the Astronomical Institutes of Czechoslovakia</t>
    </r>
    <r>
      <rPr>
        <sz val="11"/>
        <color theme="1"/>
        <rFont val="Calibri"/>
        <family val="2"/>
        <scheme val="minor"/>
      </rPr>
      <t xml:space="preserve"> 12: 21–47.</t>
    </r>
  </si>
  <si>
    <r>
      <t xml:space="preserve">Borovička J., and Kalenda P. 2003. The Morávka meteorite fall : 4 . Meteoroid dynamics and fragmentation in the atmosphere. </t>
    </r>
    <r>
      <rPr>
        <i/>
        <sz val="11"/>
        <color theme="1"/>
        <rFont val="Calibri"/>
        <family val="2"/>
        <scheme val="minor"/>
      </rPr>
      <t>Meteorit. Planet. Sci.</t>
    </r>
    <r>
      <rPr>
        <sz val="11"/>
        <color theme="1"/>
        <rFont val="Calibri"/>
        <family val="2"/>
        <scheme val="minor"/>
      </rPr>
      <t xml:space="preserve"> 38: 1023–1043.</t>
    </r>
  </si>
  <si>
    <r>
      <t xml:space="preserve">Ceplecha Z. 1977. Fireballs photographed in central Europe. </t>
    </r>
    <r>
      <rPr>
        <i/>
        <sz val="11"/>
        <color theme="1"/>
        <rFont val="Calibri"/>
        <family val="2"/>
        <scheme val="minor"/>
      </rPr>
      <t>Astronomical Institutes of Czechoslovakia, Bulletin</t>
    </r>
    <r>
      <rPr>
        <sz val="11"/>
        <color theme="1"/>
        <rFont val="Calibri"/>
        <family val="2"/>
        <scheme val="minor"/>
      </rPr>
      <t xml:space="preserve"> 28: 328–340.</t>
    </r>
  </si>
  <si>
    <t>1a</t>
  </si>
  <si>
    <t>1b</t>
  </si>
  <si>
    <t>2-</t>
  </si>
  <si>
    <r>
      <t xml:space="preserve">McCrosky R. E., Posen A., Schwartz G., and Shao C.-Y. 1971. Lost City Meteorites its Recovery and a Comparison with Other Fireballs. </t>
    </r>
    <r>
      <rPr>
        <i/>
        <sz val="11"/>
        <color theme="1"/>
        <rFont val="Calibri"/>
        <family val="2"/>
        <scheme val="minor"/>
      </rPr>
      <t>Journal of Geophysical Research</t>
    </r>
    <r>
      <rPr>
        <sz val="11"/>
        <color theme="1"/>
        <rFont val="Calibri"/>
        <family val="2"/>
        <scheme val="minor"/>
      </rPr>
      <t xml:space="preserve"> 76: 4090–4108.</t>
    </r>
  </si>
  <si>
    <t>2a</t>
  </si>
  <si>
    <r>
      <t xml:space="preserve">Ceplecha Z. 1996. Luminous efficiency based on photographic observations of the Lost City fireball and implications for the influx of interplanetary bodies onto Earth. </t>
    </r>
    <r>
      <rPr>
        <i/>
        <sz val="11"/>
        <color theme="1"/>
        <rFont val="Calibri"/>
        <family val="2"/>
        <scheme val="minor"/>
      </rPr>
      <t>Astronomy and Astrophysics</t>
    </r>
    <r>
      <rPr>
        <sz val="11"/>
        <color theme="1"/>
        <rFont val="Calibri"/>
        <family val="2"/>
        <scheme val="minor"/>
      </rPr>
      <t xml:space="preserve"> 311: 329–332.</t>
    </r>
  </si>
  <si>
    <t>2b</t>
  </si>
  <si>
    <r>
      <t xml:space="preserve">Ceplecha Z., and ReVelle D. O. 2005. Fragmentation model of meteoroid motion , mass loss , and radiation in the atmosphere. </t>
    </r>
    <r>
      <rPr>
        <i/>
        <sz val="11"/>
        <color theme="1"/>
        <rFont val="Calibri"/>
        <family val="2"/>
        <scheme val="minor"/>
      </rPr>
      <t>Meteoritics And Planetary Science</t>
    </r>
    <r>
      <rPr>
        <sz val="11"/>
        <color theme="1"/>
        <rFont val="Calibri"/>
        <family val="2"/>
        <scheme val="minor"/>
      </rPr>
      <t xml:space="preserve"> 40: 35–54.</t>
    </r>
  </si>
  <si>
    <r>
      <t xml:space="preserve">Halliday I., Blackwell A. T., and Griffin A. 1978. The Innisfree meteorite and the Canadian camera network. </t>
    </r>
    <r>
      <rPr>
        <i/>
        <sz val="11"/>
        <color theme="1"/>
        <rFont val="Calibri"/>
        <family val="2"/>
        <scheme val="minor"/>
      </rPr>
      <t>Royal Astronomical Society of Canada, Journal</t>
    </r>
    <r>
      <rPr>
        <sz val="11"/>
        <color theme="1"/>
        <rFont val="Calibri"/>
        <family val="2"/>
        <scheme val="minor"/>
      </rPr>
      <t xml:space="preserve"> 72: 15–39.</t>
    </r>
  </si>
  <si>
    <t>3-</t>
  </si>
  <si>
    <t>3a</t>
  </si>
  <si>
    <r>
      <t xml:space="preserve">Halliday I., Griffin A., and Blackwell A. T. 1981. The Innisfree meteorite fall- A photographic analysis of fragmentation, dynamics and luminosity. </t>
    </r>
    <r>
      <rPr>
        <i/>
        <sz val="11"/>
        <color theme="1"/>
        <rFont val="Calibri"/>
        <family val="2"/>
        <scheme val="minor"/>
      </rPr>
      <t>Meteoritics</t>
    </r>
    <r>
      <rPr>
        <sz val="11"/>
        <color theme="1"/>
        <rFont val="Calibri"/>
        <family val="2"/>
        <scheme val="minor"/>
      </rPr>
      <t xml:space="preserve"> 16: 153–170.</t>
    </r>
  </si>
  <si>
    <t>4-</t>
  </si>
  <si>
    <r>
      <t xml:space="preserve">Spurný P. 1994. Recent fireballs photographed in central Europe. </t>
    </r>
    <r>
      <rPr>
        <i/>
        <sz val="11"/>
        <color theme="1"/>
        <rFont val="Calibri"/>
        <family val="2"/>
        <scheme val="minor"/>
      </rPr>
      <t>Planetary and Space Science</t>
    </r>
    <r>
      <rPr>
        <sz val="11"/>
        <color theme="1"/>
        <rFont val="Calibri"/>
        <family val="2"/>
        <scheme val="minor"/>
      </rPr>
      <t xml:space="preserve"> 42: 157–162.</t>
    </r>
  </si>
  <si>
    <t>4a</t>
  </si>
  <si>
    <r>
      <t xml:space="preserve">Borovička J., Popova O. P., Nemchinov I. V., Spurný P., and Ceplecha Z. 1998. Bolides produced by impacts of large meteoroids into the Earth ’ s atmosphere : comparison of theory with observations I. Benesov bolide dynamics and fragmentation. </t>
    </r>
    <r>
      <rPr>
        <i/>
        <sz val="11"/>
        <color theme="1"/>
        <rFont val="Calibri"/>
        <family val="2"/>
        <scheme val="minor"/>
      </rPr>
      <t>Astronomy &amp; Astrophysics</t>
    </r>
    <r>
      <rPr>
        <sz val="11"/>
        <color theme="1"/>
        <rFont val="Calibri"/>
        <family val="2"/>
        <scheme val="minor"/>
      </rPr>
      <t xml:space="preserve"> 334: 713–728.</t>
    </r>
  </si>
  <si>
    <r>
      <t xml:space="preserve">Brown P. G., Ceplecha Z., Hawkes R. L., Wetherill G. W., Beech M., and Mossman K. 1994. The orbit and atmospheric trajectory of the Peekskill meteorite from video records. </t>
    </r>
    <r>
      <rPr>
        <i/>
        <sz val="11"/>
        <color theme="1"/>
        <rFont val="Calibri"/>
        <family val="2"/>
        <scheme val="minor"/>
      </rPr>
      <t>Nature</t>
    </r>
    <r>
      <rPr>
        <sz val="11"/>
        <color theme="1"/>
        <rFont val="Calibri"/>
        <family val="2"/>
        <scheme val="minor"/>
      </rPr>
      <t xml:space="preserve"> 367: 624–626.</t>
    </r>
  </si>
  <si>
    <t>5-</t>
  </si>
  <si>
    <t>5a</t>
  </si>
  <si>
    <r>
      <t xml:space="preserve">Ceplecha Z., Brown P. G., Hawkes R. L., Wetherill G. W., Beech M., and Mossman K. 1996. Video observations, atmospheric path, orbit and fragmentation record of the fall of the Peekskill meteorite. </t>
    </r>
    <r>
      <rPr>
        <i/>
        <sz val="11"/>
        <color theme="1"/>
        <rFont val="Calibri"/>
        <family val="2"/>
        <scheme val="minor"/>
      </rPr>
      <t>Earth, Moon and Planets</t>
    </r>
    <r>
      <rPr>
        <sz val="11"/>
        <color theme="1"/>
        <rFont val="Calibri"/>
        <family val="2"/>
        <scheme val="minor"/>
      </rPr>
      <t xml:space="preserve"> 72: 395–404.</t>
    </r>
  </si>
  <si>
    <t>6-</t>
  </si>
  <si>
    <r>
      <t xml:space="preserve">Brown P. G., ReVelle D. O., and Hildebrand A. R. 2001. The Tagish Lake meteorite fall: interpretation of fireball physical characteristics. In </t>
    </r>
    <r>
      <rPr>
        <i/>
        <sz val="11"/>
        <color theme="1"/>
        <rFont val="Calibri"/>
        <family val="2"/>
        <scheme val="minor"/>
      </rPr>
      <t>Proceedings of the Meteoroids 2001 Conference</t>
    </r>
    <r>
      <rPr>
        <sz val="11"/>
        <color theme="1"/>
        <rFont val="Calibri"/>
        <family val="2"/>
        <scheme val="minor"/>
      </rPr>
      <t>, edited by Warmbein B. ESA SP 495. pp. 497–505.</t>
    </r>
  </si>
  <si>
    <t>6a</t>
  </si>
  <si>
    <r>
      <t xml:space="preserve">Hildebrand A. R., McCausland P. J. a., Brown P. G., Longstaffe F. J., Russell S. D. J., Tagliaferri E., Wacker J. F., Mazur M. J., and Causland P. J. A. M. C. 2006. The fall and recovery of the Tagish Lake meteorite. </t>
    </r>
    <r>
      <rPr>
        <i/>
        <sz val="11"/>
        <color theme="1"/>
        <rFont val="Calibri"/>
        <family val="2"/>
        <scheme val="minor"/>
      </rPr>
      <t>Meteorit. Planet. Sci.</t>
    </r>
    <r>
      <rPr>
        <sz val="11"/>
        <color theme="1"/>
        <rFont val="Calibri"/>
        <family val="2"/>
        <scheme val="minor"/>
      </rPr>
      <t xml:space="preserve"> 41: 407–431.</t>
    </r>
  </si>
  <si>
    <t>6. Brown et al (2001); 6a Hildebrand et al (2006); 6b Brown et al (2002)</t>
  </si>
  <si>
    <t>6b</t>
  </si>
  <si>
    <r>
      <t xml:space="preserve">Brown P. G., Revelle D. O., Tagliaferri E., and Hildebrand A. R. 2002. An entry model for the Tagish Lake fireball using seismic, satellite and infrasound records. </t>
    </r>
    <r>
      <rPr>
        <i/>
        <sz val="11"/>
        <color theme="1"/>
        <rFont val="Calibri"/>
        <family val="2"/>
        <scheme val="minor"/>
      </rPr>
      <t>Meteorit. Planet. Sci.</t>
    </r>
    <r>
      <rPr>
        <sz val="11"/>
        <color theme="1"/>
        <rFont val="Calibri"/>
        <family val="2"/>
        <scheme val="minor"/>
      </rPr>
      <t xml:space="preserve"> 37: 661–676.</t>
    </r>
  </si>
  <si>
    <t>7-</t>
  </si>
  <si>
    <r>
      <t xml:space="preserve">Borovička J., Spurný P., Kalenda P., and Tagliaferri E. 2003. The Morávka meteorite fall : 1 . Description of the events and determination of the fireball trajectory and orbit from video records. </t>
    </r>
    <r>
      <rPr>
        <i/>
        <sz val="11"/>
        <color theme="1"/>
        <rFont val="Calibri"/>
        <family val="2"/>
        <scheme val="minor"/>
      </rPr>
      <t>Meteorit. Planet. Sci.</t>
    </r>
    <r>
      <rPr>
        <sz val="11"/>
        <color theme="1"/>
        <rFont val="Calibri"/>
        <family val="2"/>
        <scheme val="minor"/>
      </rPr>
      <t xml:space="preserve"> 38: 975–987.</t>
    </r>
  </si>
  <si>
    <r>
      <t xml:space="preserve">Spurný P., Heinlein D., and Oberst J. 2002. The atmospheric trajectory and heliocentric orbit of the Neuschwanstein meteorite fall on April 6, 2002. In </t>
    </r>
    <r>
      <rPr>
        <i/>
        <sz val="11"/>
        <color theme="1"/>
        <rFont val="Calibri"/>
        <family val="2"/>
        <scheme val="minor"/>
      </rPr>
      <t>Asteroids, Comets, and Meteors: ACM 2002</t>
    </r>
    <r>
      <rPr>
        <sz val="11"/>
        <color theme="1"/>
        <rFont val="Calibri"/>
        <family val="2"/>
        <scheme val="minor"/>
      </rPr>
      <t>. pp. 137–140.</t>
    </r>
  </si>
  <si>
    <t>8-</t>
  </si>
  <si>
    <t>8a</t>
  </si>
  <si>
    <r>
      <t xml:space="preserve">Spurný P., Oberst J., and Heinlein D. 2003. Photographic observations of Neuschwanstein , a second meteorite from the orbit of the Pribram chondrite. </t>
    </r>
    <r>
      <rPr>
        <i/>
        <sz val="11"/>
        <color theme="1"/>
        <rFont val="Calibri"/>
        <family val="2"/>
        <scheme val="minor"/>
      </rPr>
      <t>Nature</t>
    </r>
    <r>
      <rPr>
        <sz val="11"/>
        <color theme="1"/>
        <rFont val="Calibri"/>
        <family val="2"/>
        <scheme val="minor"/>
      </rPr>
      <t xml:space="preserve"> 423: 151–3.</t>
    </r>
  </si>
  <si>
    <r>
      <t xml:space="preserve">Brown P. G., Pack D., Edwards W. N., Revelle D. O., Yoo B. B., Spalding R. E., and Tagliaferri E. 2004. The orbit , atmospheric dynamics , and initial mass of the Park Forest meteorite. </t>
    </r>
    <r>
      <rPr>
        <i/>
        <sz val="11"/>
        <color theme="1"/>
        <rFont val="Calibri"/>
        <family val="2"/>
        <scheme val="minor"/>
      </rPr>
      <t>Meteorit. Planet. Sci.</t>
    </r>
    <r>
      <rPr>
        <sz val="11"/>
        <color theme="1"/>
        <rFont val="Calibri"/>
        <family val="2"/>
        <scheme val="minor"/>
      </rPr>
      <t xml:space="preserve"> 39: 1781–1796.</t>
    </r>
  </si>
  <si>
    <t>9-</t>
  </si>
  <si>
    <t>10-</t>
  </si>
  <si>
    <r>
      <t xml:space="preserve">Trigo-Rodriguez J. M., Borovička J., Spurný P., Ortiz J. L., Docobo J. A., Castro-Tirado A. J., and Llorca J. 2006. The Villalbeto de la Peña meteorite fall: II. Determination of atmospheric trajectory and orbit. </t>
    </r>
    <r>
      <rPr>
        <i/>
        <sz val="11"/>
        <color theme="1"/>
        <rFont val="Calibri"/>
        <family val="2"/>
        <scheme val="minor"/>
      </rPr>
      <t>Meteorit. Planet. Sci.</t>
    </r>
    <r>
      <rPr>
        <sz val="11"/>
        <color theme="1"/>
        <rFont val="Calibri"/>
        <family val="2"/>
        <scheme val="minor"/>
      </rPr>
      <t xml:space="preserve"> 41: 505–517.</t>
    </r>
  </si>
  <si>
    <t>10a</t>
  </si>
  <si>
    <r>
      <t xml:space="preserve">Llorca J. et al. 2005. The Villalbeto de la Peña meteorite fall : I . Fireball energy , meteorite recovery , strewn field , and petrography. </t>
    </r>
    <r>
      <rPr>
        <i/>
        <sz val="11"/>
        <color theme="1"/>
        <rFont val="Calibri"/>
        <family val="2"/>
        <scheme val="minor"/>
      </rPr>
      <t>Meteoritics Planet. Sci.</t>
    </r>
    <r>
      <rPr>
        <sz val="11"/>
        <color theme="1"/>
        <rFont val="Calibri"/>
        <family val="2"/>
        <scheme val="minor"/>
      </rPr>
      <t xml:space="preserve"> 40: 795–804.</t>
    </r>
  </si>
  <si>
    <t>11-</t>
  </si>
  <si>
    <t>12-</t>
  </si>
  <si>
    <r>
      <t xml:space="preserve">Jenniskens P. et al. 2009. The impact and recovery of asteroid 2008 TC(3). </t>
    </r>
    <r>
      <rPr>
        <i/>
        <sz val="11"/>
        <color theme="1"/>
        <rFont val="Calibri"/>
        <family val="2"/>
        <scheme val="minor"/>
      </rPr>
      <t>Nature</t>
    </r>
    <r>
      <rPr>
        <sz val="11"/>
        <color theme="1"/>
        <rFont val="Calibri"/>
        <family val="2"/>
        <scheme val="minor"/>
      </rPr>
      <t xml:space="preserve"> 458: 485–8.</t>
    </r>
  </si>
  <si>
    <t>12a</t>
  </si>
  <si>
    <r>
      <t xml:space="preserve">Welten K. C., Meier M. M. M., Caffee M. W., Nishiizumi K., Wieler R., Jenniskens P., and Shaddad M. H. 2010. Cosmogenic nuclides in Almahata Sitta ureilites: Cosmic-ray exposure age, preatmospheric mass, and bulk density of asteroid 2008 TC3. </t>
    </r>
    <r>
      <rPr>
        <i/>
        <sz val="11"/>
        <color theme="1"/>
        <rFont val="Calibri"/>
        <family val="2"/>
        <scheme val="minor"/>
      </rPr>
      <t>Meteoritics &amp; Planetary Science</t>
    </r>
    <r>
      <rPr>
        <sz val="11"/>
        <color theme="1"/>
        <rFont val="Calibri"/>
        <family val="2"/>
        <scheme val="minor"/>
      </rPr>
      <t xml:space="preserve"> 15: no–no.</t>
    </r>
  </si>
  <si>
    <t>13-</t>
  </si>
  <si>
    <r>
      <t xml:space="preserve">Milley E. P., Hildebrand A. R., Brown P. G., Noble M., Sarty G., Ling A., and Mailler L. A. 2010. Pre-fall Orbit of the Buzzard Coulee Meteoroid. In </t>
    </r>
    <r>
      <rPr>
        <i/>
        <sz val="11"/>
        <color theme="1"/>
        <rFont val="Calibri"/>
        <family val="2"/>
        <scheme val="minor"/>
      </rPr>
      <t>Geocanada 2010 - Working with the Earth</t>
    </r>
    <r>
      <rPr>
        <sz val="11"/>
        <color theme="1"/>
        <rFont val="Calibri"/>
        <family val="2"/>
        <scheme val="minor"/>
      </rPr>
      <t>. p. 4.</t>
    </r>
  </si>
  <si>
    <t>13a</t>
  </si>
  <si>
    <t>Milley E. P. 2010. Physical Properties of fireball-producing earth-impacting meteoroids and orbit determination through shadow calibration of the Buzzard Coulee meteorite fall., MSc Thesis, 166p.</t>
  </si>
  <si>
    <t>14-</t>
  </si>
  <si>
    <t>Keuer, D., Singer, W. and Stober G. (2009) Signatures of the ionization trail of a fireball observed in the HF, and VHF range above middle-Europe on Jan 17, 2009, Proceedings of the 12th workshop on Technical and Scientific Aspects of MST radar, (Eds. N. Swarnalingham and W.K. Hocking), p. 154-158</t>
  </si>
  <si>
    <t>14a</t>
  </si>
  <si>
    <t>14 Keuer et al (2010); 14a Haack et al (2010); 14b Haack et al (2011)</t>
  </si>
  <si>
    <r>
      <t xml:space="preserve">Haak H. W., Michelsen R., Stober G., Keuer D., and Singer W. 2010. The Maribo CM2 fall: radar based orbit determination of an unusually fast fireball. In </t>
    </r>
    <r>
      <rPr>
        <i/>
        <sz val="11"/>
        <color theme="1"/>
        <rFont val="Calibri"/>
        <family val="2"/>
        <scheme val="minor"/>
      </rPr>
      <t>73rd Meeting of the Meteoritical Society</t>
    </r>
    <r>
      <rPr>
        <sz val="11"/>
        <color theme="1"/>
        <rFont val="Calibri"/>
        <family val="2"/>
        <scheme val="minor"/>
      </rPr>
      <t>. p. 5085.</t>
    </r>
  </si>
  <si>
    <t>14b</t>
  </si>
  <si>
    <r>
      <t xml:space="preserve">Haak H. W., Michelsen R., Stober G., Keuer D., Singer W., Williams I. P., Unit A., Mary Q., and Encke C. 2011. CM Chondrites from Comets? - NEw Constraints from the orbit of the Maribo CM Chondrite Fall. In </t>
    </r>
    <r>
      <rPr>
        <i/>
        <sz val="11"/>
        <color theme="1"/>
        <rFont val="Calibri"/>
        <family val="2"/>
        <scheme val="minor"/>
      </rPr>
      <t>Formation of the First Solids in the Solar System</t>
    </r>
    <r>
      <rPr>
        <sz val="11"/>
        <color theme="1"/>
        <rFont val="Calibri"/>
        <family val="2"/>
        <scheme val="minor"/>
      </rPr>
      <t>. Abstract 9100</t>
    </r>
  </si>
  <si>
    <r>
      <t xml:space="preserve">Spurný P., Borovička J., Kac J., Kalenda P., Atanackov J., Kladnik G., Heinlein D., and Grau T. 2010. Analysis of instrumental observations of the Jesenice meteorite fall on April 9, 2009. </t>
    </r>
    <r>
      <rPr>
        <i/>
        <sz val="11"/>
        <color theme="1"/>
        <rFont val="Calibri"/>
        <family val="2"/>
        <scheme val="minor"/>
      </rPr>
      <t>Meteoritics &amp; Planetary Science</t>
    </r>
    <r>
      <rPr>
        <sz val="11"/>
        <color theme="1"/>
        <rFont val="Calibri"/>
        <family val="2"/>
        <scheme val="minor"/>
      </rPr>
      <t xml:space="preserve"> 45: 1392–1407.</t>
    </r>
  </si>
  <si>
    <t>15-</t>
  </si>
  <si>
    <t>16-</t>
  </si>
  <si>
    <t>16a</t>
  </si>
  <si>
    <r>
      <t xml:space="preserve">Brown P. G., McCausland, P. J. A., Fries M., Silber E., Edwards W. N., Wong D. K., Weryk R. J., Fries J., and Krzeminski Z. 2011. The fall of the Grimsby meteorite-I: Fireball dynamics and orbit from radar, video, and infrasound records. </t>
    </r>
    <r>
      <rPr>
        <i/>
        <sz val="11"/>
        <color theme="1"/>
        <rFont val="Calibri"/>
        <family val="2"/>
        <scheme val="minor"/>
      </rPr>
      <t>Meteoritics &amp; Planetary Science</t>
    </r>
    <r>
      <rPr>
        <sz val="11"/>
        <color theme="1"/>
        <rFont val="Calibri"/>
        <family val="2"/>
        <scheme val="minor"/>
      </rPr>
      <t xml:space="preserve"> 363: 339–363.</t>
    </r>
  </si>
  <si>
    <r>
      <t xml:space="preserve">Cartwright J. A., Hermann S., McCausland P. J. A., Brown P. G., and Ott U. 2010. Noble gas analysis of the Grimsby H chondrite. In </t>
    </r>
    <r>
      <rPr>
        <i/>
        <sz val="11"/>
        <color theme="1"/>
        <rFont val="Calibri"/>
        <family val="2"/>
        <scheme val="minor"/>
      </rPr>
      <t>73rd Meeting of the Meteoritical Society</t>
    </r>
    <r>
      <rPr>
        <sz val="11"/>
        <color theme="1"/>
        <rFont val="Calibri"/>
        <family val="2"/>
        <scheme val="minor"/>
      </rPr>
      <t>. p. A30.</t>
    </r>
  </si>
  <si>
    <t>17-</t>
  </si>
  <si>
    <t>18-</t>
  </si>
  <si>
    <r>
      <t xml:space="preserve">Spurný P., Bland P. A., Borovička J., Towner M. C., Shrbeny L., Bevan A., and Vaughan D. 2012. The Mason Gully meteorite fall in SW Australia: Fireball Trajectory, Luminosity, Dynamics, Orbit and Impact Position from photographic records. In </t>
    </r>
    <r>
      <rPr>
        <i/>
        <sz val="11"/>
        <color theme="1"/>
        <rFont val="Calibri"/>
        <family val="2"/>
        <scheme val="minor"/>
      </rPr>
      <t>Asteroids Comets Meteors 2012</t>
    </r>
    <r>
      <rPr>
        <sz val="11"/>
        <color theme="1"/>
        <rFont val="Calibri"/>
        <family val="2"/>
        <scheme val="minor"/>
      </rPr>
      <t>. p. 6369.</t>
    </r>
  </si>
  <si>
    <t>19-</t>
  </si>
  <si>
    <r>
      <t xml:space="preserve">SPURNÝ P. et al. 2012. The Bunburra Rockhole meteorite fall in SW Australia: fireball trajectory, luminosity, dynamics, orbit, and impact position from photographic and photoelectric records. </t>
    </r>
    <r>
      <rPr>
        <i/>
        <sz val="11"/>
        <color theme="1"/>
        <rFont val="Calibri"/>
        <family val="2"/>
        <scheme val="minor"/>
      </rPr>
      <t>Meteoritics &amp; Planetary Science</t>
    </r>
    <r>
      <rPr>
        <sz val="11"/>
        <color theme="1"/>
        <rFont val="Calibri"/>
        <family val="2"/>
        <scheme val="minor"/>
      </rPr>
      <t xml:space="preserve"> 47: 163–185.</t>
    </r>
  </si>
  <si>
    <t>Meteorite Recovery</t>
  </si>
  <si>
    <t>(Longitude)</t>
  </si>
  <si>
    <t>(Latitude)</t>
  </si>
  <si>
    <t>Time of Start of Fireball</t>
  </si>
  <si>
    <t>(UT)</t>
  </si>
  <si>
    <t>Chelyabinsk</t>
  </si>
  <si>
    <t>LL5</t>
  </si>
  <si>
    <t xml:space="preserve">&gt;100 </t>
  </si>
  <si>
    <r>
      <t xml:space="preserve">Jenniskens P. et al. 2012. Radar-Enabled Recovery of the Sutter’s Mill Meteorite, a Carbonaceous Chondrite Regolith Breccia. </t>
    </r>
    <r>
      <rPr>
        <i/>
        <sz val="11"/>
        <color theme="1"/>
        <rFont val="Calibri"/>
        <family val="2"/>
        <scheme val="minor"/>
      </rPr>
      <t>Science</t>
    </r>
    <r>
      <rPr>
        <sz val="11"/>
        <color theme="1"/>
        <rFont val="Calibri"/>
        <family val="2"/>
        <scheme val="minor"/>
      </rPr>
      <t xml:space="preserve"> 338: 1583–1587.</t>
    </r>
  </si>
  <si>
    <t>L5/LL5(?)</t>
  </si>
  <si>
    <t>Tj</t>
  </si>
  <si>
    <t>16.8</t>
  </si>
  <si>
    <t>332.82</t>
  </si>
  <si>
    <t>0.28</t>
  </si>
  <si>
    <t>14c</t>
  </si>
  <si>
    <t>Spurny, P., Borovicka, J., Haack, H., Singer, W., Keuer, D., Jobse, K. 2013. Trajectory and Orbit of the Maribo CM2 Meteorite from optical, photoelectric  and radar records, Meteoroids 2013 conferece, poster presentation.</t>
  </si>
  <si>
    <t>14, 14a, 14b, 14c</t>
  </si>
  <si>
    <t>PE</t>
  </si>
  <si>
    <t>I</t>
  </si>
  <si>
    <t>II</t>
  </si>
  <si>
    <t>IIIA</t>
  </si>
  <si>
    <t>&lt;30.5</t>
  </si>
  <si>
    <t>5.9</t>
  </si>
  <si>
    <t>124.7</t>
  </si>
  <si>
    <t>19.7</t>
  </si>
  <si>
    <t>Almahata Sitta (2008 TC3)</t>
  </si>
  <si>
    <t>Meteorite Name</t>
  </si>
  <si>
    <t>21a Borovicka et al (2013); 21b Brown et al. (2013)</t>
  </si>
  <si>
    <t>Table 1 Refreneces</t>
  </si>
  <si>
    <t>Borovicka et al. 2013. The Trajectory, Structure and origin of the Chelyabinsk asteroidal impactor, Nature, 503, pp. 235-237</t>
  </si>
  <si>
    <t>Brown et al. 2013. A 500-kiloton airburst over Chelyabinsk and an enhanced hazard from small impactors, Nature, 503, 238-241</t>
  </si>
  <si>
    <t>Borovicka et al. 2013. The Kosice meteorite fall: Atmospheric trajectory, fragmentation, and orbit, Meteoritics and Planetary Science, 48, 1757-1779.</t>
  </si>
  <si>
    <t>Timing Error</t>
  </si>
  <si>
    <r>
      <t>V</t>
    </r>
    <r>
      <rPr>
        <vertAlign val="subscript"/>
        <sz val="12"/>
        <color theme="1"/>
        <rFont val="Calibri"/>
        <family val="2"/>
      </rPr>
      <t>∞ error</t>
    </r>
  </si>
  <si>
    <r>
      <t>M</t>
    </r>
    <r>
      <rPr>
        <vertAlign val="subscript"/>
        <sz val="12"/>
        <color theme="1"/>
        <rFont val="Times New Roman"/>
        <family val="1"/>
      </rPr>
      <t xml:space="preserve">peak </t>
    </r>
  </si>
  <si>
    <t>error</t>
  </si>
  <si>
    <t>ZC</t>
  </si>
  <si>
    <t>± αg</t>
  </si>
  <si>
    <r>
      <t>±δ</t>
    </r>
    <r>
      <rPr>
        <vertAlign val="subscript"/>
        <sz val="12"/>
        <color theme="1"/>
        <rFont val="Calibri"/>
        <family val="2"/>
      </rPr>
      <t>g</t>
    </r>
  </si>
  <si>
    <t>±a</t>
  </si>
  <si>
    <t>a (AU)</t>
  </si>
  <si>
    <t>±e</t>
  </si>
  <si>
    <t>±i</t>
  </si>
  <si>
    <r>
      <t>±</t>
    </r>
    <r>
      <rPr>
        <sz val="12"/>
        <color theme="1"/>
        <rFont val="Calibri"/>
        <family val="2"/>
      </rPr>
      <t>ω</t>
    </r>
  </si>
  <si>
    <t>±Ω</t>
  </si>
  <si>
    <t>±Tj</t>
  </si>
  <si>
    <t>Diameter</t>
  </si>
  <si>
    <t>(m)</t>
  </si>
  <si>
    <t>Bulk Density =</t>
  </si>
  <si>
    <t>chondrite</t>
  </si>
  <si>
    <t>kg/m^3</t>
  </si>
  <si>
    <t>carbonaceous chondrite</t>
  </si>
  <si>
    <t>CRE Age Ref</t>
  </si>
  <si>
    <t>14d</t>
  </si>
  <si>
    <r>
      <t xml:space="preserve">Haak, H. W., Grau, T., Bischoff, A., Horstmann, M., Wasson, J., Sørensen, A., … Schmitt-Kopplin, P. (2012). Maribo-A new CM fall from Denmark. </t>
    </r>
    <r>
      <rPr>
        <i/>
        <sz val="11"/>
        <color theme="1"/>
        <rFont val="Calibri"/>
        <family val="2"/>
        <scheme val="minor"/>
      </rPr>
      <t>Meteoritics &amp; Planetary Science</t>
    </r>
    <r>
      <rPr>
        <sz val="11"/>
        <color theme="1"/>
        <rFont val="Calibri"/>
        <family val="2"/>
        <scheme val="minor"/>
      </rPr>
      <t xml:space="preserve">, </t>
    </r>
    <r>
      <rPr>
        <i/>
        <sz val="11"/>
        <color theme="1"/>
        <rFont val="Calibri"/>
        <family val="2"/>
        <scheme val="minor"/>
      </rPr>
      <t>47</t>
    </r>
    <r>
      <rPr>
        <sz val="11"/>
        <color theme="1"/>
        <rFont val="Calibri"/>
        <family val="2"/>
        <scheme val="minor"/>
      </rPr>
      <t>(1), 30–50. doi:10.1111/j.1945-5100.2011.01311.x</t>
    </r>
  </si>
  <si>
    <r>
      <t xml:space="preserve">Nishiizumi, K., Caffee, M. W., Hamajima, Y., Reedy, R. C., &amp; Welten, K. C. (2014). Exposure history of the Sutter’s Mill carbonaceous chondrite. </t>
    </r>
    <r>
      <rPr>
        <i/>
        <sz val="11"/>
        <color theme="1"/>
        <rFont val="Calibri"/>
        <family val="2"/>
        <scheme val="minor"/>
      </rPr>
      <t>Meteoritics &amp; Planetary Science</t>
    </r>
    <r>
      <rPr>
        <sz val="11"/>
        <color theme="1"/>
        <rFont val="Calibri"/>
        <family val="2"/>
        <scheme val="minor"/>
      </rPr>
      <t xml:space="preserve">, </t>
    </r>
    <r>
      <rPr>
        <i/>
        <sz val="11"/>
        <color theme="1"/>
        <rFont val="Calibri"/>
        <family val="2"/>
        <scheme val="minor"/>
      </rPr>
      <t>8</t>
    </r>
    <r>
      <rPr>
        <sz val="11"/>
        <color theme="1"/>
        <rFont val="Calibri"/>
        <family val="2"/>
        <scheme val="minor"/>
      </rPr>
      <t>, n/a–n/a. doi:10.1111/maps.12297</t>
    </r>
  </si>
  <si>
    <t>19a</t>
  </si>
  <si>
    <t>6c</t>
  </si>
  <si>
    <r>
      <t xml:space="preserve">Nakamura, T. (2001). Noble gas isotopic signatures and x-ray and electron diffraction characteristics of tagish lake carbonaceous chondrite. In </t>
    </r>
    <r>
      <rPr>
        <i/>
        <sz val="11"/>
        <color theme="1"/>
        <rFont val="Calibri"/>
        <family val="2"/>
        <scheme val="minor"/>
      </rPr>
      <t>Lunar and Planetary Institute Science Conference Abstracts</t>
    </r>
    <r>
      <rPr>
        <sz val="11"/>
        <color theme="1"/>
        <rFont val="Calibri"/>
        <family val="2"/>
        <scheme val="minor"/>
      </rPr>
      <t xml:space="preserve"> (Vol. 109, p. 1621). doi:10.1016/S0924-0136(00)00788-3</t>
    </r>
  </si>
  <si>
    <t>Bulk Dens Ref</t>
  </si>
  <si>
    <t>Ref - orbit/fireball data</t>
  </si>
  <si>
    <t>CRE Age (Ma)</t>
  </si>
  <si>
    <r>
      <t>Measured Bulk Density (kgm</t>
    </r>
    <r>
      <rPr>
        <vertAlign val="superscript"/>
        <sz val="12"/>
        <color theme="1"/>
        <rFont val="Times New Roman"/>
        <family val="1"/>
      </rPr>
      <t>-3</t>
    </r>
    <r>
      <rPr>
        <sz val="12"/>
        <color theme="1"/>
        <rFont val="Times New Roman"/>
        <family val="1"/>
      </rPr>
      <t>)</t>
    </r>
  </si>
  <si>
    <t>1c</t>
  </si>
  <si>
    <t>Britt, D., Consolmagno, G.J., 2003. Stony meteorite porosities and densities: A review of the data through 2001. Meteorit. Planet. Sci. 38, 1161–1180.</t>
  </si>
  <si>
    <t>9, 9a</t>
  </si>
  <si>
    <t>9. Brown et al (2004); 9a Simon et al (2004)</t>
  </si>
  <si>
    <t>I/II</t>
  </si>
  <si>
    <t>0.01</t>
  </si>
  <si>
    <t>Fireball First Point</t>
  </si>
  <si>
    <t>(longitude)</t>
  </si>
  <si>
    <t>0.05</t>
  </si>
  <si>
    <t>0.1</t>
  </si>
  <si>
    <t>227.692</t>
  </si>
  <si>
    <t>1</t>
  </si>
  <si>
    <t>39.909</t>
  </si>
  <si>
    <t>0.002</t>
  </si>
  <si>
    <t>0.4</t>
  </si>
  <si>
    <t>0.5</t>
  </si>
  <si>
    <t>0.6</t>
  </si>
  <si>
    <t>0.2</t>
  </si>
  <si>
    <t>0.8</t>
  </si>
  <si>
    <t>1.8</t>
  </si>
  <si>
    <t>1.7</t>
  </si>
  <si>
    <t>2.8</t>
  </si>
  <si>
    <t>0.03</t>
  </si>
  <si>
    <t>0.04</t>
  </si>
  <si>
    <t>1.3</t>
  </si>
  <si>
    <t>0.7</t>
  </si>
  <si>
    <t>0.06</t>
  </si>
  <si>
    <t>0</t>
  </si>
  <si>
    <t>0.67</t>
  </si>
  <si>
    <t>0.29</t>
  </si>
  <si>
    <t>290.1</t>
  </si>
  <si>
    <t>77</t>
  </si>
  <si>
    <t>1.2</t>
  </si>
  <si>
    <t>0.22</t>
  </si>
  <si>
    <t>0.11</t>
  </si>
  <si>
    <t>3</t>
  </si>
  <si>
    <t>148.36</t>
  </si>
  <si>
    <t>268.1</t>
  </si>
  <si>
    <t>-48.9</t>
  </si>
  <si>
    <t>0.14</t>
  </si>
  <si>
    <t>Krizevci</t>
  </si>
  <si>
    <t>131.22</t>
  </si>
  <si>
    <t>19.53</t>
  </si>
  <si>
    <r>
      <t xml:space="preserve">Trigo-rodr, J. M., Lyytinen, E., Gritsevich, M., Bottke, W. F., Williams, I. P., Lupovka, V., … Forest, P. (2015). Orbit and dynamic origin of the recently recovered Annama ’ s H5 chondrite. </t>
    </r>
    <r>
      <rPr>
        <i/>
        <sz val="11"/>
        <color theme="1"/>
        <rFont val="Calibri"/>
        <family val="2"/>
        <scheme val="minor"/>
      </rPr>
      <t>Mon. Not. R. Astron. Soc</t>
    </r>
    <r>
      <rPr>
        <sz val="11"/>
        <color theme="1"/>
        <rFont val="Calibri"/>
        <family val="2"/>
        <scheme val="minor"/>
      </rPr>
      <t xml:space="preserve">, </t>
    </r>
    <r>
      <rPr>
        <i/>
        <sz val="11"/>
        <color theme="1"/>
        <rFont val="Calibri"/>
        <family val="2"/>
        <scheme val="minor"/>
      </rPr>
      <t>449</t>
    </r>
    <r>
      <rPr>
        <sz val="11"/>
        <color theme="1"/>
        <rFont val="Calibri"/>
        <family val="2"/>
        <scheme val="minor"/>
      </rPr>
      <t>, 2119–2127. doi:10.1093/mnras/stv378</t>
    </r>
  </si>
  <si>
    <t>Annama</t>
  </si>
  <si>
    <t>213.03</t>
  </si>
  <si>
    <t>8.7</t>
  </si>
  <si>
    <t>23 -</t>
  </si>
  <si>
    <r>
      <t xml:space="preserve">Borovička, J., Spurný, P., Šegon, D., Andreić, Ž., Kac, J., Korlević, K., … Novoselnik, F. (2015). The instrumentally recorded fall of the Križevci meteorite, Croatia, February 4, 2011. </t>
    </r>
    <r>
      <rPr>
        <i/>
        <sz val="11"/>
        <color theme="1"/>
        <rFont val="Calibri"/>
        <family val="2"/>
        <scheme val="minor"/>
      </rPr>
      <t>Meteoritics &amp; Planetary Science</t>
    </r>
    <r>
      <rPr>
        <sz val="11"/>
        <color theme="1"/>
        <rFont val="Calibri"/>
        <family val="2"/>
        <scheme val="minor"/>
      </rPr>
      <t xml:space="preserve">, </t>
    </r>
    <r>
      <rPr>
        <i/>
        <sz val="11"/>
        <color theme="1"/>
        <rFont val="Calibri"/>
        <family val="2"/>
        <scheme val="minor"/>
      </rPr>
      <t>50</t>
    </r>
    <r>
      <rPr>
        <sz val="11"/>
        <color theme="1"/>
        <rFont val="Calibri"/>
        <family val="2"/>
        <scheme val="minor"/>
      </rPr>
      <t>(7), 1244–1259. doi:10.1111/maps.12469</t>
    </r>
  </si>
  <si>
    <t>Murrili</t>
  </si>
  <si>
    <t>6.1</t>
  </si>
  <si>
    <t>Techniques: P - Dedicated photographic network, CV - Casual video, V - Dedicated video network, I - infrasound, S-Seismic, Sa - Satellite, R - radar, C-CCD detector (non-video-frame-rate)</t>
  </si>
  <si>
    <t>C</t>
  </si>
  <si>
    <t>MSIS-E</t>
  </si>
  <si>
    <t>CV, V</t>
  </si>
  <si>
    <t>&lt;45.72</t>
  </si>
  <si>
    <t>20-</t>
  </si>
  <si>
    <t>Jenniskens, P., Rubin, A.E., Yin, Q.-Z., Sears, D.W.G., Sandford, S. a., Zolensky, M.E., Krot, A.N., Blair, L., Kane, D., Utas, J., Verish, R., Friedrich, J.M., Wimpenny, J., Eppich, G.R., Ziegler, K., Verosub, K.L., Rowland, D.J., Albers, J., Gural, P.S., Grigsby, B., Fries, M.D., Matson, R., Johnston, M., Silber, E., Brown, P.G., Yamakawa, A., Sanborn, M.E., Laubenstein, M., Welten, K.C., Nishiizumi, K., Meier, M.M.M., Busemann, H., Clay, P., Caffee, M.W., Schmitt-Kopplin, P., Hertkorn, N., Glavin, D.P., Callahan, M.P., Dworkin, J.P., Wu, Q., Zare, R.N., Grady, M., Verchovsky, S., Emel’Yanenko, V., Naroenkov, S., Clark, D.L., Girten, B., Worden, P.S., 2014. Fall, recovery, and characterization of the Novato L6 chondrite breccia. Meteorit. Planet. Sci. 49, 1388–1425. doi:10.1111/maps.12323</t>
  </si>
  <si>
    <t>&lt;13.38</t>
  </si>
  <si>
    <t>P,V,</t>
  </si>
  <si>
    <t>24-</t>
  </si>
  <si>
    <t>Zdar nad Sazavou</t>
  </si>
  <si>
    <t>P,C, I, S</t>
  </si>
  <si>
    <t>L3.9</t>
  </si>
  <si>
    <t>25-</t>
  </si>
  <si>
    <t>Stubenberg</t>
  </si>
  <si>
    <t>LL6</t>
  </si>
  <si>
    <t>5.5</t>
  </si>
  <si>
    <t>26-</t>
  </si>
  <si>
    <t>Spurný, P., Borovička, J., Haloda, J., Shrbený, L., Heinlein, D., 2016. Two very precisely instrumentally documented meteorite falls: Zdar nad Sazavou and Stubenberg - Prediction and Reality, in: 79th Meteoritical Society Meeting. p. 6221.</t>
  </si>
  <si>
    <t>20a-</t>
  </si>
  <si>
    <t>21-</t>
  </si>
  <si>
    <t>22a-</t>
  </si>
  <si>
    <t>22b-</t>
  </si>
  <si>
    <t>22a,22b</t>
  </si>
  <si>
    <t>20,20a</t>
  </si>
  <si>
    <t>C,P</t>
  </si>
  <si>
    <t>23a-</t>
  </si>
  <si>
    <t>23a</t>
  </si>
  <si>
    <t>25a</t>
  </si>
  <si>
    <t>25a-</t>
  </si>
  <si>
    <t>Macke, R.J., 2016. Density, Porosity and Magnetic Susceptiblity of the Murrili Meteorite recovered by the Desert Fireball Network. 79th Meteorit. Soc. Meet. 20130259. doi:10.1098/rsta.2013.0259.</t>
  </si>
  <si>
    <t>Ejby</t>
  </si>
  <si>
    <t>H5/6</t>
  </si>
  <si>
    <t>CV,C</t>
  </si>
  <si>
    <t>27-</t>
  </si>
  <si>
    <t>Spurný, P., Borovička, J., Baumgarten, G., Haack, H., Heinlein, D., Sørensen, A.N., 2016. Atmospheric trajectory and heliocentric orbit of the Ejby meteorite fall in Denmark on February 6, 2016. Planet. Space Sci. doi:10.1016/j.pss.2016.11.010</t>
  </si>
  <si>
    <t>77.78</t>
  </si>
  <si>
    <t>0.09</t>
  </si>
  <si>
    <t>26.87</t>
  </si>
  <si>
    <t>0.38</t>
  </si>
  <si>
    <t>0.011</t>
  </si>
  <si>
    <r>
      <t>α</t>
    </r>
    <r>
      <rPr>
        <vertAlign val="subscript"/>
        <sz val="12"/>
        <color theme="1"/>
        <rFont val="Calibri"/>
        <family val="2"/>
      </rPr>
      <t>R</t>
    </r>
  </si>
  <si>
    <t>± αR</t>
  </si>
  <si>
    <r>
      <t>δ</t>
    </r>
    <r>
      <rPr>
        <vertAlign val="subscript"/>
        <sz val="12"/>
        <color theme="1"/>
        <rFont val="Calibri"/>
        <family val="2"/>
      </rPr>
      <t>R</t>
    </r>
  </si>
  <si>
    <r>
      <t>±δ</t>
    </r>
    <r>
      <rPr>
        <vertAlign val="subscript"/>
        <sz val="12"/>
        <color theme="1"/>
        <rFont val="Calibri"/>
        <family val="2"/>
      </rPr>
      <t>R</t>
    </r>
  </si>
  <si>
    <t>190.105</t>
  </si>
  <si>
    <t>146.54</t>
  </si>
  <si>
    <t>1.78</t>
  </si>
  <si>
    <t>9</t>
  </si>
  <si>
    <t>24</t>
  </si>
  <si>
    <t>12.7</t>
  </si>
  <si>
    <t>Dishchii'bikoh</t>
  </si>
  <si>
    <t>LL7</t>
  </si>
  <si>
    <t>6.5</t>
  </si>
  <si>
    <t>28-</t>
  </si>
  <si>
    <t>height=</t>
  </si>
  <si>
    <t>Hamburg</t>
  </si>
  <si>
    <t>&lt;----</t>
  </si>
  <si>
    <t xml:space="preserve">CV,V, I, S, Sa, </t>
  </si>
  <si>
    <t>74.29</t>
  </si>
  <si>
    <t>0.39</t>
  </si>
  <si>
    <t>24.71</t>
  </si>
  <si>
    <t>0.36</t>
  </si>
  <si>
    <t>29-</t>
  </si>
  <si>
    <r>
      <t xml:space="preserve">Brown, P. G., Vida, D., Moser, D. E., Granvik, M., Koshak, W. J., Chu, D., … Krzeminski, Z. (2019). The Hamburg meteorite fall: Fireball trajectory, orbit, and dynamics. </t>
    </r>
    <r>
      <rPr>
        <i/>
        <sz val="11"/>
        <color theme="1"/>
        <rFont val="Calibri"/>
        <family val="2"/>
        <scheme val="minor"/>
      </rPr>
      <t>Meteoritics &amp; Planetary Science</t>
    </r>
    <r>
      <rPr>
        <sz val="11"/>
        <color theme="1"/>
        <rFont val="Calibri"/>
        <family val="2"/>
        <scheme val="minor"/>
      </rPr>
      <t xml:space="preserve">, </t>
    </r>
    <r>
      <rPr>
        <i/>
        <sz val="11"/>
        <color theme="1"/>
        <rFont val="Calibri"/>
        <family val="2"/>
        <scheme val="minor"/>
      </rPr>
      <t>54</t>
    </r>
    <r>
      <rPr>
        <sz val="11"/>
        <color theme="1"/>
        <rFont val="Calibri"/>
        <family val="2"/>
        <scheme val="minor"/>
      </rPr>
      <t>(9), 2027–2045. https://doi.org/10.1111/maps.13368</t>
    </r>
  </si>
  <si>
    <t>30-</t>
  </si>
  <si>
    <r>
      <t xml:space="preserve">Bland, P. A., Towner, M. C., Sansom, E. K., Devillepoix, H., Howie, R.M., Paxman, J. P., Cupak, M., … Strangway, D. (2016). Fall and Recovery of the Murrili Meteorite, and an update on the Desert Fireball Network. </t>
    </r>
    <r>
      <rPr>
        <i/>
        <sz val="11"/>
        <color theme="1"/>
        <rFont val="Calibri"/>
        <family val="2"/>
        <scheme val="minor"/>
      </rPr>
      <t>79th Meteoritical Society Meeting</t>
    </r>
    <r>
      <rPr>
        <sz val="11"/>
        <color theme="1"/>
        <rFont val="Calibri"/>
        <family val="2"/>
        <scheme val="minor"/>
      </rPr>
      <t>.</t>
    </r>
  </si>
  <si>
    <t>Sariçiçek</t>
  </si>
  <si>
    <t>How</t>
  </si>
  <si>
    <t>mass=</t>
  </si>
  <si>
    <t>bulk density=</t>
  </si>
  <si>
    <t>radius =</t>
  </si>
  <si>
    <t>m</t>
  </si>
  <si>
    <t>CV,V,IS,S,Sa</t>
  </si>
  <si>
    <t>264.8</t>
  </si>
  <si>
    <t>59.4</t>
  </si>
  <si>
    <t>1.4</t>
  </si>
  <si>
    <t>31-</t>
  </si>
  <si>
    <r>
      <t xml:space="preserve">Unsalan, O., Jenniskens, P., Yin, Q., Kaygisiz, E., Albers, J., Clark, D. L., … Schmedemann, N. (2019). The Sariçiçek howardite fall in Turkey: Source crater of &lt;scp&gt;HED&lt;/scp&gt; meteorites on Vesta and impact risk of Vestoids. </t>
    </r>
    <r>
      <rPr>
        <i/>
        <sz val="11"/>
        <color theme="1"/>
        <rFont val="Calibri"/>
        <family val="2"/>
        <scheme val="minor"/>
      </rPr>
      <t>Meteoritics &amp; Planetary Science</t>
    </r>
    <r>
      <rPr>
        <sz val="11"/>
        <color theme="1"/>
        <rFont val="Calibri"/>
        <family val="2"/>
        <scheme val="minor"/>
      </rPr>
      <t xml:space="preserve">, </t>
    </r>
    <r>
      <rPr>
        <i/>
        <sz val="11"/>
        <color theme="1"/>
        <rFont val="Calibri"/>
        <family val="2"/>
        <scheme val="minor"/>
      </rPr>
      <t>54</t>
    </r>
    <r>
      <rPr>
        <sz val="11"/>
        <color theme="1"/>
        <rFont val="Calibri"/>
        <family val="2"/>
        <scheme val="minor"/>
      </rPr>
      <t>(5), 953–1008. https://doi.org/10.1111/maps.13258</t>
    </r>
  </si>
  <si>
    <t>Creston</t>
  </si>
  <si>
    <t>28.5</t>
  </si>
  <si>
    <t>-0.7</t>
  </si>
  <si>
    <t>0.18</t>
  </si>
  <si>
    <t>P, CV,V,S,R</t>
  </si>
  <si>
    <t>E=</t>
  </si>
  <si>
    <t>kT</t>
  </si>
  <si>
    <t>32-</t>
  </si>
  <si>
    <r>
      <t xml:space="preserve">Jenniskens, P., Utas, J., Yin, Q., Matson, R. D., Fries, M., Howell, J. A., … Granvik, M. (2019). The Creston, California, meteorite fall and the origin of L chondrites. </t>
    </r>
    <r>
      <rPr>
        <i/>
        <sz val="11"/>
        <color theme="1"/>
        <rFont val="Calibri"/>
        <family val="2"/>
        <scheme val="minor"/>
      </rPr>
      <t>Meteoritics &amp; Planetary Science</t>
    </r>
    <r>
      <rPr>
        <sz val="11"/>
        <color theme="1"/>
        <rFont val="Calibri"/>
        <family val="2"/>
        <scheme val="minor"/>
      </rPr>
      <t xml:space="preserve">, </t>
    </r>
    <r>
      <rPr>
        <i/>
        <sz val="11"/>
        <color theme="1"/>
        <rFont val="Calibri"/>
        <family val="2"/>
        <scheme val="minor"/>
      </rPr>
      <t>54</t>
    </r>
    <r>
      <rPr>
        <sz val="11"/>
        <color theme="1"/>
        <rFont val="Calibri"/>
        <family val="2"/>
        <scheme val="minor"/>
      </rPr>
      <t>(4), 699–720. https://doi.org/10.1111/maps.13235</t>
    </r>
  </si>
  <si>
    <t>Dingle Dell</t>
  </si>
  <si>
    <t>L5/6</t>
  </si>
  <si>
    <t>P,V</t>
  </si>
  <si>
    <t>354.581</t>
  </si>
  <si>
    <t>0.037</t>
  </si>
  <si>
    <t>13.093</t>
  </si>
  <si>
    <t>0.081</t>
  </si>
  <si>
    <t>33-</t>
  </si>
  <si>
    <r>
      <t xml:space="preserve">Devillepoix, H. A. R., Sansom, E. K., Bland, P. A., Towner, M. C., Cupák, M., Howie, R. M., … Paxman, J. P. (2018). The Dingle Dell meteorite: A Halloween treat from the Main Belt. </t>
    </r>
    <r>
      <rPr>
        <i/>
        <sz val="11"/>
        <color theme="1"/>
        <rFont val="Calibri"/>
        <family val="2"/>
        <scheme val="minor"/>
      </rPr>
      <t>Meteoritics and Planetary Science</t>
    </r>
    <r>
      <rPr>
        <sz val="11"/>
        <color theme="1"/>
        <rFont val="Calibri"/>
        <family val="2"/>
        <scheme val="minor"/>
      </rPr>
      <t xml:space="preserve">, </t>
    </r>
    <r>
      <rPr>
        <i/>
        <sz val="11"/>
        <color theme="1"/>
        <rFont val="Calibri"/>
        <family val="2"/>
        <scheme val="minor"/>
      </rPr>
      <t>53</t>
    </r>
    <r>
      <rPr>
        <sz val="11"/>
        <color theme="1"/>
        <rFont val="Calibri"/>
        <family val="2"/>
        <scheme val="minor"/>
      </rPr>
      <t>(10), 2212–2227. https://doi.org/10.1111/maps.13142</t>
    </r>
  </si>
  <si>
    <t>Sansom E. K. et al. 2020. Murrili meteorite’s fall and recovery from Kati Thanda. Arxiv 2006.07151</t>
  </si>
  <si>
    <t>337.38</t>
  </si>
  <si>
    <t>-29.38</t>
  </si>
  <si>
    <t>330.68</t>
  </si>
  <si>
    <t>0.15</t>
  </si>
  <si>
    <t>-28.561</t>
  </si>
  <si>
    <t>0.027</t>
  </si>
  <si>
    <t>64.997</t>
  </si>
  <si>
    <t>0.004</t>
  </si>
  <si>
    <t>30.406</t>
  </si>
  <si>
    <t>69.298</t>
  </si>
  <si>
    <t>26.963</t>
  </si>
  <si>
    <t>0.009</t>
  </si>
  <si>
    <r>
      <t xml:space="preserve">Spurný P., Borovička J., and Shrbený L. 2020. The Žďár nad Sázavou meteorite fall: Fireball trajectory, photometry, dynamics, fragmentation, orbit, and meteorite recovery. </t>
    </r>
    <r>
      <rPr>
        <i/>
        <sz val="11"/>
        <color theme="1"/>
        <rFont val="Calibri"/>
        <family val="2"/>
        <scheme val="minor"/>
      </rPr>
      <t>Meteoritics &amp; Planetary Science</t>
    </r>
    <r>
      <rPr>
        <sz val="11"/>
        <color theme="1"/>
        <rFont val="Calibri"/>
        <family val="2"/>
        <scheme val="minor"/>
      </rPr>
      <t xml:space="preserve"> 55:376–401.</t>
    </r>
  </si>
  <si>
    <t>27, 27a</t>
  </si>
  <si>
    <t>27a-</t>
  </si>
  <si>
    <r>
      <t xml:space="preserve">Borovička J., Spurný P., and Shrbený L. 2020. Two Strengths of Ordinary Chondritic Meteoroids as Derived from Their Atmospheric Fragmentation Modeling. </t>
    </r>
    <r>
      <rPr>
        <i/>
        <sz val="11"/>
        <color theme="1"/>
        <rFont val="Calibri"/>
        <family val="2"/>
        <scheme val="minor"/>
      </rPr>
      <t>The Astronomical Journal</t>
    </r>
    <r>
      <rPr>
        <sz val="11"/>
        <color theme="1"/>
        <rFont val="Calibri"/>
        <family val="2"/>
        <scheme val="minor"/>
      </rPr>
      <t xml:space="preserve"> 160:42.</t>
    </r>
  </si>
  <si>
    <t>L/LL5</t>
  </si>
  <si>
    <t>337.64</t>
  </si>
  <si>
    <t>0.32</t>
  </si>
  <si>
    <t>74.09</t>
  </si>
  <si>
    <t>0.44</t>
  </si>
  <si>
    <t>359.43</t>
  </si>
  <si>
    <t>0.58</t>
  </si>
  <si>
    <t>78.27</t>
  </si>
  <si>
    <t>0.3</t>
  </si>
  <si>
    <r>
      <t xml:space="preserve">Jenniskens P. et al. 2020. Orbit and origin of the LL7 chondrite Dishchii’bikoh (Arizona). </t>
    </r>
    <r>
      <rPr>
        <i/>
        <sz val="11"/>
        <color theme="1"/>
        <rFont val="Calibri"/>
        <family val="2"/>
        <scheme val="minor"/>
      </rPr>
      <t>Meteoritics &amp; Planetary Science</t>
    </r>
    <r>
      <rPr>
        <sz val="11"/>
        <color theme="1"/>
        <rFont val="Calibri"/>
        <family val="2"/>
        <scheme val="minor"/>
      </rPr>
      <t xml:space="preserve"> 55:535–557.</t>
    </r>
  </si>
  <si>
    <t>V,C, R, Sa</t>
  </si>
  <si>
    <t>Vg</t>
  </si>
  <si>
    <t>18.56</t>
  </si>
  <si>
    <t>± Vg</t>
  </si>
  <si>
    <t>0.02</t>
  </si>
  <si>
    <t>8.245</t>
  </si>
  <si>
    <t>0.142</t>
  </si>
  <si>
    <t>82.28</t>
  </si>
  <si>
    <t>32.6</t>
  </si>
  <si>
    <t>9.44</t>
  </si>
  <si>
    <t>12.3</t>
  </si>
  <si>
    <t>72.83</t>
  </si>
  <si>
    <t>0.34</t>
  </si>
  <si>
    <t>27.37</t>
  </si>
  <si>
    <t>11.1</t>
  </si>
  <si>
    <t>0.07</t>
  </si>
  <si>
    <t>276.5</t>
  </si>
  <si>
    <t>59.7</t>
  </si>
  <si>
    <t>13.1</t>
  </si>
  <si>
    <t>1.1</t>
  </si>
  <si>
    <t>25.9</t>
  </si>
  <si>
    <t>4.83</t>
  </si>
  <si>
    <t>11.26</t>
  </si>
  <si>
    <t>10.508</t>
  </si>
  <si>
    <t>0.087</t>
  </si>
  <si>
    <t>Motopi Pan (2018 LA)</t>
  </si>
  <si>
    <t>Flensburg</t>
  </si>
  <si>
    <t>Cavezzo</t>
  </si>
  <si>
    <t>L5-An</t>
  </si>
  <si>
    <t>C1-ung</t>
  </si>
  <si>
    <t>Air Density---&gt;</t>
  </si>
  <si>
    <t>ht,rho(gcc),rho(kgm^-3)</t>
  </si>
  <si>
    <t>Dynamic Pressusre=</t>
  </si>
  <si>
    <t>Mpa</t>
  </si>
  <si>
    <t>Golden</t>
  </si>
  <si>
    <t>LL5/L5?</t>
  </si>
  <si>
    <t>This work</t>
  </si>
  <si>
    <t>q</t>
  </si>
  <si>
    <t>Q</t>
  </si>
  <si>
    <t>Halliday et al (1981)</t>
  </si>
  <si>
    <t>Reference</t>
  </si>
  <si>
    <t>Borovicka et al (2013)</t>
  </si>
  <si>
    <t>Spurný et al (2016)</t>
  </si>
  <si>
    <t>Jenniskens et al (2020)</t>
  </si>
  <si>
    <t>Devillepoix,  et al. (2018)</t>
  </si>
  <si>
    <t>AU</t>
  </si>
  <si>
    <t>inclination (J2000)</t>
  </si>
  <si>
    <t>ω (J2000)</t>
  </si>
  <si>
    <t>Ω (J2000)</t>
  </si>
  <si>
    <r>
      <t>V</t>
    </r>
    <r>
      <rPr>
        <vertAlign val="subscript"/>
        <sz val="12"/>
        <color rgb="FFFF0000"/>
        <rFont val="Calibri"/>
        <family val="2"/>
      </rPr>
      <t>∞</t>
    </r>
  </si>
  <si>
    <r>
      <t>V</t>
    </r>
    <r>
      <rPr>
        <vertAlign val="subscript"/>
        <sz val="12"/>
        <color rgb="FFFF0000"/>
        <rFont val="Calibri"/>
        <family val="2"/>
      </rPr>
      <t>∞ error</t>
    </r>
  </si>
  <si>
    <r>
      <t>V</t>
    </r>
    <r>
      <rPr>
        <vertAlign val="subscript"/>
        <sz val="11"/>
        <color rgb="FFFF0000"/>
        <rFont val="Times New Roman"/>
        <family val="1"/>
      </rPr>
      <t>final</t>
    </r>
  </si>
  <si>
    <r>
      <t>M</t>
    </r>
    <r>
      <rPr>
        <vertAlign val="subscript"/>
        <sz val="12"/>
        <color rgb="FFFF0000"/>
        <rFont val="Times New Roman"/>
        <family val="1"/>
      </rPr>
      <t>init</t>
    </r>
  </si>
  <si>
    <r>
      <t>M</t>
    </r>
    <r>
      <rPr>
        <vertAlign val="subscript"/>
        <sz val="12"/>
        <color rgb="FFFF0000"/>
        <rFont val="Times New Roman"/>
        <family val="1"/>
      </rPr>
      <t>peak</t>
    </r>
  </si>
  <si>
    <r>
      <t>M</t>
    </r>
    <r>
      <rPr>
        <vertAlign val="subscript"/>
        <sz val="12"/>
        <color rgb="FFFF0000"/>
        <rFont val="Times New Roman"/>
        <family val="1"/>
      </rPr>
      <t xml:space="preserve">peak </t>
    </r>
  </si>
  <si>
    <r>
      <t>H</t>
    </r>
    <r>
      <rPr>
        <vertAlign val="subscript"/>
        <sz val="12"/>
        <color rgb="FFFF0000"/>
        <rFont val="Times New Roman"/>
        <family val="1"/>
      </rPr>
      <t>begin</t>
    </r>
  </si>
  <si>
    <r>
      <t>H</t>
    </r>
    <r>
      <rPr>
        <vertAlign val="subscript"/>
        <sz val="12"/>
        <color rgb="FFFF0000"/>
        <rFont val="Times New Roman"/>
        <family val="1"/>
      </rPr>
      <t>end</t>
    </r>
  </si>
  <si>
    <r>
      <t>α</t>
    </r>
    <r>
      <rPr>
        <vertAlign val="subscript"/>
        <sz val="12"/>
        <color rgb="FFFF0000"/>
        <rFont val="Calibri"/>
        <family val="2"/>
      </rPr>
      <t>R</t>
    </r>
  </si>
  <si>
    <r>
      <t>δ</t>
    </r>
    <r>
      <rPr>
        <vertAlign val="subscript"/>
        <sz val="12"/>
        <color rgb="FFFF0000"/>
        <rFont val="Calibri"/>
        <family val="2"/>
      </rPr>
      <t>R</t>
    </r>
  </si>
  <si>
    <r>
      <t>±δ</t>
    </r>
    <r>
      <rPr>
        <vertAlign val="subscript"/>
        <sz val="12"/>
        <color rgb="FFFF0000"/>
        <rFont val="Calibri"/>
        <family val="2"/>
      </rPr>
      <t>R</t>
    </r>
  </si>
  <si>
    <r>
      <t>α</t>
    </r>
    <r>
      <rPr>
        <vertAlign val="subscript"/>
        <sz val="12"/>
        <color rgb="FFFF0000"/>
        <rFont val="Calibri"/>
        <family val="2"/>
      </rPr>
      <t>g</t>
    </r>
  </si>
  <si>
    <r>
      <t>δ</t>
    </r>
    <r>
      <rPr>
        <vertAlign val="subscript"/>
        <sz val="12"/>
        <color rgb="FFFF0000"/>
        <rFont val="Calibri"/>
        <family val="2"/>
      </rPr>
      <t>g</t>
    </r>
  </si>
  <si>
    <r>
      <t>±δ</t>
    </r>
    <r>
      <rPr>
        <vertAlign val="subscript"/>
        <sz val="12"/>
        <color rgb="FFFF0000"/>
        <rFont val="Calibri"/>
        <family val="2"/>
      </rPr>
      <t>g</t>
    </r>
  </si>
  <si>
    <r>
      <t>±</t>
    </r>
    <r>
      <rPr>
        <sz val="12"/>
        <color rgb="FFFF0000"/>
        <rFont val="Calibri"/>
        <family val="2"/>
      </rPr>
      <t>ω</t>
    </r>
  </si>
  <si>
    <t>Length (beg-end)</t>
  </si>
  <si>
    <t>Avg Speed</t>
  </si>
  <si>
    <t>Novo Mesto</t>
  </si>
  <si>
    <t xml:space="preserve">34 - </t>
  </si>
  <si>
    <t>Goswami J. N., Lal D., Rao M., Sinha N., and Venkatesan T. 1978. Particle track and rare gas studies of Innisfree meteorite. In (Meteoritical Society, Annual Meeting, 41st, Sudbury, Ontario, Canada, Aug. 14-17, 1978.) Meteoritics http://adsabs.harvard.edu/full/1978Metic..13..481G.</t>
  </si>
  <si>
    <t>Madura Cave</t>
  </si>
  <si>
    <t>Winchcombe</t>
  </si>
  <si>
    <t>Traspena</t>
  </si>
  <si>
    <t xml:space="preserve">35 - </t>
  </si>
  <si>
    <r>
      <t xml:space="preserve">Righter K. et al. 2015. Mineralogy, petrology, chronology, and exposure history of the Chelyabinsk meteorite and parent body. </t>
    </r>
    <r>
      <rPr>
        <i/>
        <sz val="11"/>
        <color theme="1"/>
        <rFont val="Calibri"/>
        <family val="2"/>
        <scheme val="minor"/>
      </rPr>
      <t>Meteoritics and Planetary Science</t>
    </r>
    <r>
      <rPr>
        <sz val="11"/>
        <color theme="1"/>
        <rFont val="Calibri"/>
        <family val="2"/>
        <scheme val="minor"/>
      </rPr>
      <t xml:space="preserve"> 50:1790–1819.</t>
    </r>
  </si>
  <si>
    <t>Peak Dyn Pres</t>
  </si>
  <si>
    <t>(MPa)</t>
  </si>
  <si>
    <t>Height Peak Pres</t>
  </si>
  <si>
    <t>(km)</t>
  </si>
  <si>
    <t>33.7</t>
  </si>
  <si>
    <t>8.24</t>
  </si>
  <si>
    <t>56.64</t>
  </si>
  <si>
    <t>17.71</t>
  </si>
  <si>
    <t>8.12</t>
  </si>
  <si>
    <t>0.013</t>
  </si>
  <si>
    <t>36-</t>
  </si>
  <si>
    <r>
      <t xml:space="preserve">King A. J. et al. 2022. The Winchcombe meteorite, a unique and pristine witness from the outer solar system. </t>
    </r>
    <r>
      <rPr>
        <i/>
        <sz val="11"/>
        <color theme="1"/>
        <rFont val="Calibri"/>
        <family val="2"/>
        <scheme val="minor"/>
      </rPr>
      <t>Science Advances</t>
    </r>
    <r>
      <rPr>
        <sz val="11"/>
        <color theme="1"/>
        <rFont val="Calibri"/>
        <family val="2"/>
        <scheme val="minor"/>
      </rPr>
      <t xml:space="preserve"> 8:1–18. https://www.science.org/doi/10.1126/sciadv.abq3925.</t>
    </r>
  </si>
  <si>
    <t>P,V,CV,S</t>
  </si>
  <si>
    <t xml:space="preserve">37 - </t>
  </si>
  <si>
    <r>
      <t xml:space="preserve">Andrade M. et al. 2022. The Traspena meteorite: Heliocentric orbit, atmospheric trajectory, strewn field, and petrography of a new L5 ordinary chondrite. </t>
    </r>
    <r>
      <rPr>
        <i/>
        <sz val="11"/>
        <color theme="1"/>
        <rFont val="Calibri"/>
        <family val="2"/>
        <scheme val="minor"/>
      </rPr>
      <t>Monthly Notices of the Royal Astronomical Society</t>
    </r>
    <r>
      <rPr>
        <sz val="11"/>
        <color theme="1"/>
        <rFont val="Calibri"/>
        <family val="2"/>
        <scheme val="minor"/>
      </rPr>
      <t xml:space="preserve"> stac2911. https://doi.org/10.1093/mnras/stac2911.</t>
    </r>
  </si>
  <si>
    <t>38-</t>
  </si>
  <si>
    <t>Devillepoix H. A. R. et al. 2022. Trajectory, recovery, and orbital history of the Madura Cave meteorite. http://arxiv.org/abs/2202.06641.</t>
  </si>
  <si>
    <t>331.173</t>
  </si>
  <si>
    <t>5.527</t>
  </si>
  <si>
    <t>330.9475</t>
  </si>
  <si>
    <t>2.36</t>
  </si>
  <si>
    <t>0.034</t>
  </si>
  <si>
    <t>19.015</t>
  </si>
  <si>
    <t>0.016</t>
  </si>
  <si>
    <t>39-</t>
  </si>
  <si>
    <t>Vida et al (2023) Novo Mesto meteorite fall - in pep</t>
  </si>
  <si>
    <t>5.6</t>
  </si>
  <si>
    <t>28.2</t>
  </si>
  <si>
    <t>40-</t>
  </si>
  <si>
    <r>
      <t xml:space="preserve">Gardiol D. et al. 2020. Cavezzo, the first Italian meteorite recovered by the PRISMA fireball network. Orbit, trajectory, and strewn-field. </t>
    </r>
    <r>
      <rPr>
        <i/>
        <sz val="11"/>
        <color theme="1"/>
        <rFont val="Calibri"/>
        <family val="2"/>
        <scheme val="minor"/>
      </rPr>
      <t>Monthly Notices of the Royal Astronomical Society</t>
    </r>
    <r>
      <rPr>
        <sz val="11"/>
        <color theme="1"/>
        <rFont val="Calibri"/>
        <family val="2"/>
        <scheme val="minor"/>
      </rPr>
      <t xml:space="preserve"> 501:1215–1227. https://doi.org/10.1093/mnras/staa3646.</t>
    </r>
  </si>
  <si>
    <t>30.6</t>
  </si>
  <si>
    <t>358.4</t>
  </si>
  <si>
    <t>24.4</t>
  </si>
  <si>
    <t>5.8</t>
  </si>
  <si>
    <t>185</t>
  </si>
  <si>
    <t>-11.01</t>
  </si>
  <si>
    <t>0.12</t>
  </si>
  <si>
    <t>183.46</t>
  </si>
  <si>
    <t>-18.18</t>
  </si>
  <si>
    <t>15.97</t>
  </si>
  <si>
    <t>41-</t>
  </si>
  <si>
    <r>
      <t xml:space="preserve">Borovička J., Bettonvil F., Baumgarten G., Strunk J., Hankey M., Spurný P., and Heinlein D. 2021. Trajectory and orbit of the unique carbonaceous meteorite Flensburg. </t>
    </r>
    <r>
      <rPr>
        <i/>
        <sz val="11"/>
        <color theme="1"/>
        <rFont val="Calibri"/>
        <family val="2"/>
        <scheme val="minor"/>
      </rPr>
      <t>Meteoritics &amp; Planetary Science</t>
    </r>
    <r>
      <rPr>
        <sz val="11"/>
        <color theme="1"/>
        <rFont val="Calibri"/>
        <family val="2"/>
        <scheme val="minor"/>
      </rPr>
      <t xml:space="preserve"> 56:425–439. https://onlinelibrary.wiley.com/doi/10.1111/maps.13628.</t>
    </r>
  </si>
  <si>
    <t>42-</t>
  </si>
  <si>
    <r>
      <t xml:space="preserve">Bischoff A. et al. 2021. The old, unique C1 chondrite Flensburg – Insight into the first processes of aqueous alteration, brecciation, and the diversity of water-bearing parent bodies and lithologies. </t>
    </r>
    <r>
      <rPr>
        <i/>
        <sz val="11"/>
        <color theme="1"/>
        <rFont val="Calibri"/>
        <family val="2"/>
        <scheme val="minor"/>
      </rPr>
      <t>Geochimica et Cosmochimica Acta</t>
    </r>
    <r>
      <rPr>
        <sz val="11"/>
        <color theme="1"/>
        <rFont val="Calibri"/>
        <family val="2"/>
        <scheme val="minor"/>
      </rPr>
      <t xml:space="preserve"> 293:142–186.</t>
    </r>
  </si>
  <si>
    <t>Sa,CV,I</t>
  </si>
  <si>
    <t>244.18619</t>
  </si>
  <si>
    <t>0.00023</t>
  </si>
  <si>
    <t>-10.32063</t>
  </si>
  <si>
    <t>0.00019</t>
  </si>
  <si>
    <t>12.375</t>
  </si>
  <si>
    <t>0.0016</t>
  </si>
  <si>
    <t xml:space="preserve">43 - </t>
  </si>
  <si>
    <r>
      <t xml:space="preserve">Jenniskens P. et al. 2021. The impact and recovery of asteroid 2018 LA. </t>
    </r>
    <r>
      <rPr>
        <i/>
        <sz val="11"/>
        <color theme="1"/>
        <rFont val="Calibri"/>
        <family val="2"/>
        <scheme val="minor"/>
      </rPr>
      <t>Meteoritics &amp; Planetary Science</t>
    </r>
    <r>
      <rPr>
        <sz val="11"/>
        <color theme="1"/>
        <rFont val="Calibri"/>
        <family val="2"/>
        <scheme val="minor"/>
      </rPr>
      <t xml:space="preserve"> 56:844–893. https://onlinelibrary.wiley.com/doi/10.1111/maps.13653.</t>
    </r>
  </si>
  <si>
    <t xml:space="preserve">44- </t>
  </si>
  <si>
    <r>
      <t xml:space="preserve">Anderson S. L. et al. </t>
    </r>
    <r>
      <rPr>
        <i/>
        <sz val="11"/>
        <color theme="1"/>
        <rFont val="Calibri"/>
        <family val="2"/>
        <scheme val="minor"/>
      </rPr>
      <t>The Dingle Dell (L/LL6) meteorite fall: In-depth characterization of a transitional meteorite from the inner main belt</t>
    </r>
    <r>
      <rPr>
        <sz val="11"/>
        <color theme="1"/>
        <rFont val="Calibri"/>
        <family val="2"/>
        <scheme val="minor"/>
      </rPr>
      <t>,.</t>
    </r>
  </si>
  <si>
    <t>46-</t>
  </si>
  <si>
    <t>45-</t>
  </si>
  <si>
    <r>
      <t xml:space="preserve">Heck P. R. et al. 2020. The fall, recovery, classification, and initial characterization of the Hamburg, Michigan H4 chondrite. </t>
    </r>
    <r>
      <rPr>
        <i/>
        <sz val="11"/>
        <color theme="1"/>
        <rFont val="Calibri"/>
        <family val="2"/>
        <scheme val="minor"/>
      </rPr>
      <t>Meteoritics &amp; Planetary Science</t>
    </r>
    <r>
      <rPr>
        <sz val="11"/>
        <color theme="1"/>
        <rFont val="Calibri"/>
        <family val="2"/>
        <scheme val="minor"/>
      </rPr>
      <t xml:space="preserve"> 19:maps.13584. https://onlinelibrary.wiley.com/doi/10.1111/maps.13584.</t>
    </r>
  </si>
  <si>
    <r>
      <t xml:space="preserve">Bischoff A. et al. 2017. The Stubenberg meteorite—An LL6 chondrite fragmental breccia recovered soon after precise prediction of the strewn field. </t>
    </r>
    <r>
      <rPr>
        <i/>
        <sz val="11"/>
        <color theme="1"/>
        <rFont val="Calibri"/>
        <family val="2"/>
        <scheme val="minor"/>
      </rPr>
      <t>Meteoritics and Planetary Science</t>
    </r>
    <r>
      <rPr>
        <sz val="11"/>
        <color theme="1"/>
        <rFont val="Calibri"/>
        <family val="2"/>
        <scheme val="minor"/>
      </rPr>
      <t xml:space="preserve"> 52:1683–1703.</t>
    </r>
  </si>
  <si>
    <t>47-</t>
  </si>
  <si>
    <r>
      <t xml:space="preserve">Haack H. et al. 2019. Ejby—A new H5/6 ordinary chondrite fall in Copenhagen, Denmark. </t>
    </r>
    <r>
      <rPr>
        <i/>
        <sz val="11"/>
        <color theme="1"/>
        <rFont val="Calibri"/>
        <family val="2"/>
        <scheme val="minor"/>
      </rPr>
      <t>Meteoritics &amp; Planetary Science</t>
    </r>
    <r>
      <rPr>
        <sz val="11"/>
        <color theme="1"/>
        <rFont val="Calibri"/>
        <family val="2"/>
        <scheme val="minor"/>
      </rPr>
      <t xml:space="preserve"> 54:1853–1869. https://onlinelibrary.wiley.com/doi/10.1111/maps.13344.</t>
    </r>
  </si>
  <si>
    <t>48-</t>
  </si>
  <si>
    <r>
      <t xml:space="preserve">Anderson S. et al. 2021. Mineralogy, petrology, geochemistry, and chronology of the Murrili (H5) meteorite fall: The third recovered fall from the Desert Fireball Network. </t>
    </r>
    <r>
      <rPr>
        <i/>
        <sz val="11"/>
        <color theme="1"/>
        <rFont val="Calibri"/>
        <family val="2"/>
        <scheme val="minor"/>
      </rPr>
      <t>Meteoritics &amp; Planetary Science</t>
    </r>
    <r>
      <rPr>
        <sz val="11"/>
        <color theme="1"/>
        <rFont val="Calibri"/>
        <family val="2"/>
        <scheme val="minor"/>
      </rPr>
      <t xml:space="preserve"> 19:maps.13615. https://onlinelibrary.wiley.com/doi/10.1111/maps.13615.</t>
    </r>
  </si>
  <si>
    <r>
      <t xml:space="preserve">Kohout T. et al. 2017. Annama H chondrite—Mineralogy, physical properties, cosmic ray exposure, and parent body history. </t>
    </r>
    <r>
      <rPr>
        <i/>
        <sz val="11"/>
        <color theme="1"/>
        <rFont val="Calibri"/>
        <family val="2"/>
        <scheme val="minor"/>
      </rPr>
      <t>Meteoritics and Planetary Science</t>
    </r>
    <r>
      <rPr>
        <sz val="11"/>
        <color theme="1"/>
        <rFont val="Calibri"/>
        <family val="2"/>
        <scheme val="minor"/>
      </rPr>
      <t xml:space="preserve"> 52:1525–1541.</t>
    </r>
  </si>
  <si>
    <t>49-</t>
  </si>
  <si>
    <r>
      <t xml:space="preserve">Dyl K. A. et al. 2016. Characterization of Mason Gully (H5): The second recovered fall from the Desert Fireball Network. </t>
    </r>
    <r>
      <rPr>
        <i/>
        <sz val="11"/>
        <color theme="1"/>
        <rFont val="Calibri"/>
        <family val="2"/>
        <scheme val="minor"/>
      </rPr>
      <t>Meteoritics and Planetary Science</t>
    </r>
    <r>
      <rPr>
        <sz val="11"/>
        <color theme="1"/>
        <rFont val="Calibri"/>
        <family val="2"/>
        <scheme val="minor"/>
      </rPr>
      <t xml:space="preserve"> 51:596–613.</t>
    </r>
  </si>
  <si>
    <t>50-</t>
  </si>
  <si>
    <r>
      <t xml:space="preserve">Povinec P. P., Masarik J., Sýkora I., Kováčik A., Beňo J., Meier M. M. M., Wieler R., Laubenstein M., and Porubčan V. 2015. Cosmogenic nuclides in the Košice meteorite: Experimental investigations and Monte Carlo simulations. </t>
    </r>
    <r>
      <rPr>
        <i/>
        <sz val="11"/>
        <color theme="1"/>
        <rFont val="Calibri"/>
        <family val="2"/>
        <scheme val="minor"/>
      </rPr>
      <t>Meteoritics and Planetary Science</t>
    </r>
    <r>
      <rPr>
        <sz val="11"/>
        <color theme="1"/>
        <rFont val="Calibri"/>
        <family val="2"/>
        <scheme val="minor"/>
      </rPr>
      <t xml:space="preserve"> 50:880–892.</t>
    </r>
  </si>
  <si>
    <t>51-</t>
  </si>
  <si>
    <r>
      <t xml:space="preserve">Bischoff A. et al. 2011. Jesenice-A new meteorite fall from Slovenia. </t>
    </r>
    <r>
      <rPr>
        <i/>
        <sz val="11"/>
        <color theme="1"/>
        <rFont val="Calibri"/>
        <family val="2"/>
        <scheme val="minor"/>
      </rPr>
      <t>Meteoritics &amp; Planetary Science</t>
    </r>
    <r>
      <rPr>
        <sz val="11"/>
        <color theme="1"/>
        <rFont val="Calibri"/>
        <family val="2"/>
        <scheme val="minor"/>
      </rPr>
      <t xml:space="preserve"> 46:793–804. http://doi.wiley.com/10.1111/j.1945-5100.2011.01191.x (Accessed June 21, 2011).</t>
    </r>
  </si>
  <si>
    <t>52-</t>
  </si>
  <si>
    <r>
      <t xml:space="preserve">Riebe M. E. I. et al. 2017. Cosmic-ray exposure ages of six chondritic Almahata Sitta fragments. </t>
    </r>
    <r>
      <rPr>
        <i/>
        <sz val="11"/>
        <color theme="1"/>
        <rFont val="Calibri"/>
        <family val="2"/>
        <scheme val="minor"/>
      </rPr>
      <t>Meteoritics &amp; Planetary Science</t>
    </r>
    <r>
      <rPr>
        <sz val="11"/>
        <color theme="1"/>
        <rFont val="Calibri"/>
        <family val="2"/>
        <scheme val="minor"/>
      </rPr>
      <t xml:space="preserve"> 22. http://doi.wiley.com/10.1111/maps.12936.</t>
    </r>
  </si>
  <si>
    <t>53-</t>
  </si>
  <si>
    <r>
      <t xml:space="preserve">Welten K. C., Meier M. M. M., Caffee M. W., Laubenstein M., Nishizumi K., Wieler R., Bland P. A., Towner M. C., and Spurný P. 2012. Cosmic-ray exposure age and preatmospheric size of the Bunburra Rockhole achondrite. </t>
    </r>
    <r>
      <rPr>
        <i/>
        <sz val="11"/>
        <color theme="1"/>
        <rFont val="Calibri"/>
        <family val="2"/>
        <scheme val="minor"/>
      </rPr>
      <t>Meteoritics and Planetary Science</t>
    </r>
    <r>
      <rPr>
        <sz val="11"/>
        <color theme="1"/>
        <rFont val="Calibri"/>
        <family val="2"/>
        <scheme val="minor"/>
      </rPr>
      <t xml:space="preserve"> 47:186–196.</t>
    </r>
  </si>
  <si>
    <t>Poly Chon Breccia</t>
  </si>
  <si>
    <t>10, 10a, 54</t>
  </si>
  <si>
    <t>54-</t>
  </si>
  <si>
    <r>
      <t xml:space="preserve">Bischoff A., Dyl K. A., Horstmann M., Ziegler K., Wimmer K., and Young E. D. 2013. Reclassification of Villalbeto de la Pe??a-Occurrence of a winonaite-related fragment in a hydrothermally metamorphosed polymict L-chondritic breccia. </t>
    </r>
    <r>
      <rPr>
        <i/>
        <sz val="11"/>
        <color theme="1"/>
        <rFont val="Calibri"/>
        <family val="2"/>
        <scheme val="minor"/>
      </rPr>
      <t>Meteoritics and Planetary Science</t>
    </r>
    <r>
      <rPr>
        <sz val="11"/>
        <color theme="1"/>
        <rFont val="Calibri"/>
        <family val="2"/>
        <scheme val="minor"/>
      </rPr>
      <t xml:space="preserve"> 48:628–640.</t>
    </r>
  </si>
  <si>
    <t>55-</t>
  </si>
  <si>
    <r>
      <t xml:space="preserve">Meier M. M. M., Welten K. C., Riebe M. E. I., Caffee M. W., Gritsevich M., Maden C., and Busemann H. 2017. Park Forest (L5) and the asteroidal source of shocked L chondrites. </t>
    </r>
    <r>
      <rPr>
        <i/>
        <sz val="11"/>
        <color theme="1"/>
        <rFont val="Calibri"/>
        <family val="2"/>
        <scheme val="minor"/>
      </rPr>
      <t>Meteoritics &amp; Planetary Science</t>
    </r>
    <r>
      <rPr>
        <sz val="11"/>
        <color theme="1"/>
        <rFont val="Calibri"/>
        <family val="2"/>
        <scheme val="minor"/>
      </rPr>
      <t xml:space="preserve"> 52:1561–1576. http://doi.wiley.com/10.1111/maps.12874.</t>
    </r>
  </si>
  <si>
    <t>56-</t>
  </si>
  <si>
    <r>
      <t xml:space="preserve">Zipfel J., Bischoff A., Schultz L., Spettel B., Dreibus G., Schönbeck T., and Palme H. 2010. Mineralogy, chemistry, and irradiation record of Neuschwanstein (EL6) chondrite. </t>
    </r>
    <r>
      <rPr>
        <i/>
        <sz val="11"/>
        <color theme="1"/>
        <rFont val="Calibri"/>
        <family val="2"/>
        <scheme val="minor"/>
      </rPr>
      <t>Meteoritics and Planetary Science</t>
    </r>
    <r>
      <rPr>
        <sz val="11"/>
        <color theme="1"/>
        <rFont val="Calibri"/>
        <family val="2"/>
        <scheme val="minor"/>
      </rPr>
      <t xml:space="preserve"> 45:1488–1501.</t>
    </r>
  </si>
  <si>
    <t>57-</t>
  </si>
  <si>
    <r>
      <t xml:space="preserve">Graf T. et al. 1997. Exposure history of the Peekskill (H6) meteorite. </t>
    </r>
    <r>
      <rPr>
        <i/>
        <sz val="11"/>
        <color theme="1"/>
        <rFont val="Calibri"/>
        <family val="2"/>
        <scheme val="minor"/>
      </rPr>
      <t>Meteoritics</t>
    </r>
    <r>
      <rPr>
        <sz val="11"/>
        <color theme="1"/>
        <rFont val="Calibri"/>
        <family val="2"/>
        <scheme val="minor"/>
      </rPr>
      <t xml:space="preserve"> 32:25–30. http://adsabs.harvard.edu/full/1997M&amp;amp;PS...32...25G.</t>
    </r>
  </si>
  <si>
    <t>58-</t>
  </si>
  <si>
    <r>
      <t xml:space="preserve">Bogard D. D., Clark R. S., Keith J. E., and Reynolds M. A. 1971. Noble Gases and Radionuclides in Lost City and Other Recently Fallen Meteorites. </t>
    </r>
    <r>
      <rPr>
        <i/>
        <sz val="11"/>
        <color theme="1"/>
        <rFont val="Calibri"/>
        <family val="2"/>
        <scheme val="minor"/>
      </rPr>
      <t>Journal of Geophysical Research</t>
    </r>
    <r>
      <rPr>
        <sz val="11"/>
        <color theme="1"/>
        <rFont val="Calibri"/>
        <family val="2"/>
        <scheme val="minor"/>
      </rPr>
      <t xml:space="preserve"> 76:4076.</t>
    </r>
  </si>
  <si>
    <t>59-</t>
  </si>
  <si>
    <r>
      <t xml:space="preserve">Stauffer H., and Urey H. 1962. Multiple fall of Priibram meteorites photographed. III. Rare gas isotopes in the Velká stone meteorite. </t>
    </r>
    <r>
      <rPr>
        <i/>
        <sz val="11"/>
        <color theme="1"/>
        <rFont val="Calibri"/>
        <family val="2"/>
        <scheme val="minor"/>
      </rPr>
      <t>Bulletin of the Astronomical Institutes of Czechoslovakia</t>
    </r>
    <r>
      <rPr>
        <sz val="11"/>
        <color theme="1"/>
        <rFont val="Calibri"/>
        <family val="2"/>
        <scheme val="minor"/>
      </rPr>
      <t xml:space="preserve"> 13:106. http://adsabs.harvard.edu/full/1962BAICz..13..106S.</t>
    </r>
  </si>
  <si>
    <t>Escape Probs</t>
  </si>
  <si>
    <t>(Granvik et al (2018)</t>
  </si>
  <si>
    <r>
      <t>υ</t>
    </r>
    <r>
      <rPr>
        <vertAlign val="subscript"/>
        <sz val="12"/>
        <color theme="1"/>
        <rFont val="Times New Roman"/>
        <family val="1"/>
      </rPr>
      <t>6</t>
    </r>
  </si>
  <si>
    <t>Hungaria</t>
  </si>
  <si>
    <t>JFC</t>
  </si>
  <si>
    <t>5:2</t>
  </si>
  <si>
    <t>2:1</t>
  </si>
  <si>
    <t>3:1</t>
  </si>
  <si>
    <t>Phocaeas</t>
  </si>
  <si>
    <r>
      <rPr>
        <sz val="12"/>
        <color theme="1"/>
        <rFont val="Calibri"/>
        <family val="2"/>
      </rPr>
      <t>±</t>
    </r>
    <r>
      <rPr>
        <sz val="12"/>
        <color theme="1"/>
        <rFont val="Times New Roman"/>
        <family val="1"/>
      </rPr>
      <t>5:2</t>
    </r>
  </si>
  <si>
    <t>±2:1</t>
  </si>
  <si>
    <r>
      <rPr>
        <sz val="12"/>
        <color theme="1"/>
        <rFont val="Symbol"/>
        <family val="1"/>
        <charset val="2"/>
      </rPr>
      <t>s</t>
    </r>
    <r>
      <rPr>
        <sz val="12"/>
        <color theme="1"/>
        <rFont val="Times New Roman"/>
        <family val="1"/>
      </rPr>
      <t>υ</t>
    </r>
    <r>
      <rPr>
        <vertAlign val="subscript"/>
        <sz val="12"/>
        <color theme="1"/>
        <rFont val="Times New Roman"/>
        <family val="1"/>
      </rPr>
      <t>6</t>
    </r>
  </si>
  <si>
    <t>+-3:1</t>
  </si>
  <si>
    <t>+-Pho</t>
  </si>
  <si>
    <t>+- JFC</t>
  </si>
  <si>
    <t>+-Hu</t>
  </si>
  <si>
    <t>Notes:</t>
  </si>
  <si>
    <t>nu6</t>
  </si>
  <si>
    <t>=</t>
  </si>
  <si>
    <t>Antonin</t>
  </si>
  <si>
    <t>7</t>
  </si>
  <si>
    <t>3.64</t>
  </si>
  <si>
    <t>292.32</t>
  </si>
  <si>
    <t>41.64</t>
  </si>
  <si>
    <t>14.04</t>
  </si>
  <si>
    <t>60-</t>
  </si>
  <si>
    <r>
      <t xml:space="preserve">Shrbený L., Krzesińska A. M., Borovička J., Spurný P., Tymiński Z., and Kmieciak K. 2022. Analysis of the daylight fireball of July 15, 2021, leading to a meteorite fall and find near Antonin, Poland, and a description of the recovered chondrite. </t>
    </r>
    <r>
      <rPr>
        <i/>
        <sz val="11"/>
        <color theme="1"/>
        <rFont val="Calibri"/>
        <family val="2"/>
        <scheme val="minor"/>
      </rPr>
      <t>Meteoritics &amp; Planetary Science</t>
    </r>
    <r>
      <rPr>
        <sz val="11"/>
        <color theme="1"/>
        <rFont val="Calibri"/>
        <family val="2"/>
        <scheme val="minor"/>
      </rPr>
      <t xml:space="preserve"> 19:1–19. https://onlinelibrary.wiley.com/doi/10.1111/maps.13929.</t>
    </r>
  </si>
  <si>
    <t>a=2.18 for e=0.1 and i=10</t>
  </si>
  <si>
    <t>a=2.05 for e=0.1 and i=0</t>
  </si>
  <si>
    <t>a=2.8 AU</t>
  </si>
  <si>
    <t>Hun</t>
  </si>
  <si>
    <t>Pho</t>
  </si>
  <si>
    <t>a=2.5 AU</t>
  </si>
  <si>
    <t>a=3.276 AU</t>
  </si>
  <si>
    <t>a=1.9 AU i=16-35 degs</t>
  </si>
  <si>
    <t>a=2.4 AU; i=21.5; e=0.255</t>
  </si>
  <si>
    <t>a=2; e=1 : a=3, 0.5&lt;e&lt;1</t>
  </si>
  <si>
    <t>IMB SUM</t>
  </si>
  <si>
    <t>L</t>
  </si>
  <si>
    <t>LL</t>
  </si>
  <si>
    <t>L/LL</t>
  </si>
  <si>
    <t>Fall (%)</t>
  </si>
  <si>
    <t>NEAs</t>
  </si>
  <si>
    <t>Asteroid Families</t>
  </si>
  <si>
    <t>Ref</t>
  </si>
  <si>
    <t>Greenwood et al (2020)</t>
  </si>
  <si>
    <t>Q-type (Binzel et al 2019); S-type (Gaffey et al., 1993)</t>
  </si>
  <si>
    <t>Q-type (Binzel et al., 2019); S-complex/Itokawa  (Nakamura et al., 2011)</t>
  </si>
  <si>
    <t>L/LL6</t>
  </si>
  <si>
    <t>Add Info</t>
  </si>
  <si>
    <t>Fossil L chondrites with 470 Ma age (Schmitz et al (2001); Gefion injection into 5:2 caused fossil L chondrites</t>
  </si>
  <si>
    <t>1/2 of NEAs are LL-chondrite compatible (Binzel et al., 2019); Flora family is old (1-1.2 GA) so may be denuded in material (V et al 2017)</t>
  </si>
  <si>
    <t>(8) Flora (Vernazza et al., 2008; Dunn et al., 2013; Vokrulicky et al., 2017)): Baptistina (Reddy et al., 2014; Bottke et al. 2007): Hertha (V17)</t>
  </si>
  <si>
    <t>Gefion (Nesvorney et al. 2009); Not like L chondrites (McGraw et al., 2018)</t>
  </si>
  <si>
    <t>Hmag=</t>
  </si>
  <si>
    <t>diameter=</t>
  </si>
  <si>
    <t xml:space="preserve">albedo = </t>
  </si>
  <si>
    <t>(AU)</t>
  </si>
  <si>
    <t>Az Rad</t>
  </si>
  <si>
    <t>apparent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</si>
</sst>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h:mm:ss;@"/>
  </numFmts>
  <fonts count="24">
    <font>
      <sz val="11"/>
      <color theme="1"/>
      <name val="Calibri"/>
      <family val="2"/>
      <scheme val="minor"/>
    </font>
    <font>
      <sz val="12"/>
      <color theme="1"/>
      <name val="Times New Roman"/>
      <family val="1"/>
    </font>
    <font>
      <sz val="14"/>
      <color theme="1"/>
      <name val="Times New Roman"/>
      <family val="1"/>
    </font>
    <font>
      <vertAlign val="subscript"/>
      <sz val="12"/>
      <color theme="1"/>
      <name val="Times New Roman"/>
      <family val="1"/>
    </font>
    <font>
      <vertAlign val="subscript"/>
      <sz val="12"/>
      <color theme="1"/>
      <name val="Calibri"/>
      <family val="2"/>
    </font>
    <font>
      <sz val="12"/>
      <color theme="1"/>
      <name val="Calibri"/>
      <family val="2"/>
    </font>
    <font>
      <vertAlign val="subscript"/>
      <sz val="11"/>
      <color theme="1"/>
      <name val="Times New Roman"/>
      <family val="1"/>
    </font>
    <font>
      <sz val="12"/>
      <color rgb="FF000000"/>
      <name val="Times New Roman"/>
      <family val="1"/>
    </font>
    <font>
      <i/>
      <sz val="11"/>
      <color theme="1"/>
      <name val="Calibri"/>
      <family val="2"/>
      <scheme val="minor"/>
    </font>
    <font>
      <sz val="11"/>
      <color theme="1"/>
      <name val="Times New Roman"/>
      <family val="1"/>
    </font>
    <font>
      <vertAlign val="superscript"/>
      <sz val="12"/>
      <color theme="1"/>
      <name val="Times New Roman"/>
      <family val="1"/>
    </font>
    <font>
      <sz val="12"/>
      <name val="Times New Roman"/>
      <family val="1"/>
    </font>
    <font>
      <sz val="11"/>
      <name val="Calibri"/>
      <family val="2"/>
      <scheme val="minor"/>
    </font>
    <font>
      <sz val="12"/>
      <color rgb="FFFF0000"/>
      <name val="Times New Roman"/>
      <family val="1"/>
    </font>
    <font>
      <vertAlign val="subscript"/>
      <sz val="12"/>
      <color rgb="FFFF0000"/>
      <name val="Calibri"/>
      <family val="2"/>
    </font>
    <font>
      <vertAlign val="subscript"/>
      <sz val="11"/>
      <color rgb="FFFF0000"/>
      <name val="Times New Roman"/>
      <family val="1"/>
    </font>
    <font>
      <vertAlign val="subscript"/>
      <sz val="12"/>
      <color rgb="FFFF0000"/>
      <name val="Times New Roman"/>
      <family val="1"/>
    </font>
    <font>
      <sz val="12"/>
      <color rgb="FFFF0000"/>
      <name val="Calibri"/>
      <family val="2"/>
    </font>
    <font>
      <sz val="8"/>
      <name val="Calibri"/>
      <family val="2"/>
      <scheme val="minor"/>
    </font>
    <font>
      <sz val="10"/>
      <color theme="1"/>
      <name val="Times New Roman"/>
      <family val="1"/>
    </font>
    <font>
      <sz val="12"/>
      <color theme="1"/>
      <name val="Times New Roman"/>
      <family val="2"/>
    </font>
    <font>
      <b/>
      <sz val="11"/>
      <color theme="1"/>
      <name val="Calibri"/>
      <family val="2"/>
      <scheme val="minor"/>
    </font>
    <font>
      <sz val="12"/>
      <color theme="1"/>
      <name val="Symbol"/>
      <family val="1"/>
      <charset val="2"/>
    </font>
    <font>
      <sz val="12"/>
      <color theme="1"/>
      <name val="Times New Roman"/>
      <family val="1"/>
      <charset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3" tint="0.39997558519241921"/>
        <bgColor indexed="64"/>
      </patternFill>
    </fill>
  </fills>
  <borders count="18">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s>
  <cellStyleXfs count="1">
    <xf numFmtId="0" fontId="0" fillId="0" borderId="0"/>
  </cellStyleXfs>
  <cellXfs count="252">
    <xf numFmtId="0" fontId="0" fillId="0" borderId="0" xfId="0"/>
    <xf numFmtId="0" fontId="2" fillId="0" borderId="0" xfId="0" applyFont="1" applyAlignment="1">
      <alignment horizontal="center"/>
    </xf>
    <xf numFmtId="0" fontId="1" fillId="0" borderId="0" xfId="0" applyFont="1"/>
    <xf numFmtId="0" fontId="1" fillId="0" borderId="3" xfId="0" applyFont="1" applyBorder="1" applyAlignment="1">
      <alignment vertical="top" wrapText="1"/>
    </xf>
    <xf numFmtId="0" fontId="5" fillId="0" borderId="4" xfId="0" applyFont="1" applyBorder="1" applyAlignment="1">
      <alignment vertical="top" wrapText="1"/>
    </xf>
    <xf numFmtId="14" fontId="1" fillId="0" borderId="4" xfId="0" applyNumberFormat="1" applyFont="1" applyBorder="1" applyAlignment="1">
      <alignment vertical="top" wrapText="1"/>
    </xf>
    <xf numFmtId="0" fontId="1" fillId="0" borderId="4" xfId="0" applyFont="1" applyBorder="1" applyAlignment="1">
      <alignment vertical="top" wrapText="1"/>
    </xf>
    <xf numFmtId="49" fontId="1" fillId="0" borderId="4" xfId="0" applyNumberFormat="1" applyFont="1" applyBorder="1" applyAlignment="1">
      <alignment vertical="top" wrapText="1"/>
    </xf>
    <xf numFmtId="11" fontId="0" fillId="0" borderId="0" xfId="0" applyNumberFormat="1"/>
    <xf numFmtId="0" fontId="1" fillId="0" borderId="2" xfId="0" applyFont="1" applyBorder="1" applyAlignment="1">
      <alignment vertical="top" wrapText="1"/>
    </xf>
    <xf numFmtId="0" fontId="5" fillId="0" borderId="3" xfId="0" applyFont="1" applyBorder="1" applyAlignment="1">
      <alignment vertical="top" wrapText="1"/>
    </xf>
    <xf numFmtId="11" fontId="1" fillId="0" borderId="4" xfId="0" applyNumberFormat="1" applyFont="1" applyBorder="1" applyAlignment="1">
      <alignment vertical="top" wrapText="1"/>
    </xf>
    <xf numFmtId="0" fontId="7" fillId="0" borderId="0" xfId="0" applyFont="1"/>
    <xf numFmtId="0" fontId="0" fillId="0" borderId="0" xfId="0" applyNumberFormat="1"/>
    <xf numFmtId="0" fontId="1" fillId="0" borderId="4" xfId="0" applyFont="1" applyBorder="1" applyAlignment="1">
      <alignment horizontal="right" vertical="top" wrapText="1"/>
    </xf>
    <xf numFmtId="20" fontId="0" fillId="0" borderId="0" xfId="0" applyNumberFormat="1"/>
    <xf numFmtId="0" fontId="0" fillId="0" borderId="0" xfId="0" applyAlignment="1">
      <alignment horizontal="left" indent="3"/>
    </xf>
    <xf numFmtId="0" fontId="1" fillId="0" borderId="1" xfId="0" applyFont="1" applyBorder="1" applyAlignment="1">
      <alignment vertical="top" wrapText="1"/>
    </xf>
    <xf numFmtId="0" fontId="1" fillId="0" borderId="2" xfId="0" applyFont="1" applyBorder="1" applyAlignment="1">
      <alignment vertical="top" wrapText="1"/>
    </xf>
    <xf numFmtId="0" fontId="5" fillId="0" borderId="2" xfId="0" applyFont="1" applyBorder="1" applyAlignment="1">
      <alignment vertical="top" wrapText="1"/>
    </xf>
    <xf numFmtId="164" fontId="1" fillId="0" borderId="4" xfId="0" applyNumberFormat="1" applyFont="1" applyBorder="1" applyAlignment="1">
      <alignment vertical="top" wrapText="1"/>
    </xf>
    <xf numFmtId="0" fontId="1" fillId="0" borderId="2" xfId="0" applyFont="1" applyBorder="1" applyAlignment="1">
      <alignment vertical="top" wrapText="1"/>
    </xf>
    <xf numFmtId="165" fontId="1" fillId="0" borderId="4" xfId="0" applyNumberFormat="1" applyFont="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1" fillId="0" borderId="3" xfId="0" applyFont="1" applyFill="1" applyBorder="1" applyAlignment="1">
      <alignment vertical="top" wrapText="1"/>
    </xf>
    <xf numFmtId="0" fontId="9" fillId="0" borderId="8" xfId="0" applyFont="1" applyBorder="1"/>
    <xf numFmtId="0" fontId="9" fillId="0" borderId="9" xfId="0" applyFont="1" applyBorder="1"/>
    <xf numFmtId="0" fontId="9" fillId="0" borderId="4" xfId="0" applyFont="1" applyBorder="1"/>
    <xf numFmtId="0" fontId="0" fillId="0" borderId="5" xfId="0" applyBorder="1" applyAlignment="1">
      <alignment vertical="top"/>
    </xf>
    <xf numFmtId="0" fontId="0" fillId="0" borderId="0" xfId="0" applyAlignment="1">
      <alignment horizontal="left" vertical="center" indent="3"/>
    </xf>
    <xf numFmtId="0" fontId="1" fillId="0" borderId="1" xfId="0" applyFont="1" applyBorder="1" applyAlignment="1">
      <alignment vertical="top" wrapText="1"/>
    </xf>
    <xf numFmtId="0" fontId="1" fillId="0" borderId="2" xfId="0" applyFont="1" applyBorder="1" applyAlignment="1">
      <alignment vertical="top" wrapText="1"/>
    </xf>
    <xf numFmtId="166" fontId="1" fillId="0" borderId="4" xfId="0" applyNumberFormat="1" applyFont="1" applyBorder="1" applyAlignment="1">
      <alignment vertical="top" wrapText="1"/>
    </xf>
    <xf numFmtId="167" fontId="1" fillId="0" borderId="4" xfId="0" applyNumberFormat="1" applyFont="1" applyBorder="1" applyAlignment="1">
      <alignment vertical="top" wrapText="1"/>
    </xf>
    <xf numFmtId="2" fontId="1" fillId="0" borderId="4" xfId="0" applyNumberFormat="1" applyFont="1" applyBorder="1" applyAlignment="1">
      <alignment vertical="top" wrapText="1"/>
    </xf>
    <xf numFmtId="0" fontId="1" fillId="2" borderId="2" xfId="0" applyFont="1" applyFill="1" applyBorder="1" applyAlignment="1">
      <alignment vertical="top" wrapText="1"/>
    </xf>
    <xf numFmtId="14" fontId="1" fillId="2" borderId="4" xfId="0" applyNumberFormat="1" applyFont="1" applyFill="1" applyBorder="1" applyAlignment="1">
      <alignment vertical="top" wrapText="1"/>
    </xf>
    <xf numFmtId="167" fontId="1" fillId="2" borderId="4" xfId="0" applyNumberFormat="1" applyFont="1" applyFill="1" applyBorder="1" applyAlignment="1">
      <alignment vertical="top" wrapText="1"/>
    </xf>
    <xf numFmtId="2" fontId="1" fillId="2" borderId="4" xfId="0" applyNumberFormat="1" applyFont="1" applyFill="1" applyBorder="1" applyAlignment="1">
      <alignment vertical="top" wrapText="1"/>
    </xf>
    <xf numFmtId="166" fontId="1" fillId="2" borderId="4" xfId="0" applyNumberFormat="1" applyFont="1" applyFill="1" applyBorder="1" applyAlignment="1">
      <alignment vertical="top" wrapText="1"/>
    </xf>
    <xf numFmtId="164" fontId="1" fillId="2" borderId="4" xfId="0" applyNumberFormat="1" applyFont="1" applyFill="1" applyBorder="1" applyAlignment="1">
      <alignment vertical="top" wrapText="1"/>
    </xf>
    <xf numFmtId="0" fontId="1" fillId="2" borderId="4" xfId="0" applyFont="1" applyFill="1" applyBorder="1" applyAlignment="1">
      <alignment vertical="top" wrapText="1"/>
    </xf>
    <xf numFmtId="11" fontId="1" fillId="2" borderId="4" xfId="0" applyNumberFormat="1" applyFont="1" applyFill="1" applyBorder="1" applyAlignment="1">
      <alignment vertical="top" wrapText="1"/>
    </xf>
    <xf numFmtId="49" fontId="1" fillId="2" borderId="4" xfId="0" applyNumberFormat="1" applyFont="1" applyFill="1" applyBorder="1" applyAlignment="1">
      <alignment vertical="top" wrapText="1"/>
    </xf>
    <xf numFmtId="0" fontId="0" fillId="2" borderId="5" xfId="0" applyFill="1" applyBorder="1" applyAlignment="1">
      <alignment vertical="top"/>
    </xf>
    <xf numFmtId="0" fontId="0" fillId="2" borderId="0" xfId="0" applyFill="1"/>
    <xf numFmtId="0" fontId="11" fillId="2" borderId="2" xfId="0" applyFont="1" applyFill="1" applyBorder="1" applyAlignment="1">
      <alignment vertical="top" wrapText="1"/>
    </xf>
    <xf numFmtId="14" fontId="11" fillId="2" borderId="4" xfId="0" applyNumberFormat="1" applyFont="1" applyFill="1" applyBorder="1" applyAlignment="1">
      <alignment vertical="top" wrapText="1"/>
    </xf>
    <xf numFmtId="167" fontId="11" fillId="2" borderId="4" xfId="0" applyNumberFormat="1" applyFont="1" applyFill="1" applyBorder="1" applyAlignment="1">
      <alignment vertical="top" wrapText="1"/>
    </xf>
    <xf numFmtId="2" fontId="11" fillId="2" borderId="4" xfId="0" applyNumberFormat="1" applyFont="1" applyFill="1" applyBorder="1" applyAlignment="1">
      <alignment vertical="top" wrapText="1"/>
    </xf>
    <xf numFmtId="166" fontId="11" fillId="2" borderId="4" xfId="0" applyNumberFormat="1" applyFont="1" applyFill="1" applyBorder="1" applyAlignment="1">
      <alignment vertical="top" wrapText="1"/>
    </xf>
    <xf numFmtId="164" fontId="11" fillId="2" borderId="4" xfId="0" applyNumberFormat="1" applyFont="1" applyFill="1" applyBorder="1" applyAlignment="1">
      <alignment vertical="top" wrapText="1"/>
    </xf>
    <xf numFmtId="0" fontId="11" fillId="2" borderId="4" xfId="0" applyFont="1" applyFill="1" applyBorder="1" applyAlignment="1">
      <alignment vertical="top" wrapText="1"/>
    </xf>
    <xf numFmtId="11" fontId="11" fillId="2" borderId="4" xfId="0" applyNumberFormat="1" applyFont="1" applyFill="1" applyBorder="1" applyAlignment="1">
      <alignment vertical="top" wrapText="1"/>
    </xf>
    <xf numFmtId="165" fontId="11" fillId="2" borderId="4" xfId="0" applyNumberFormat="1" applyFont="1" applyFill="1" applyBorder="1" applyAlignment="1">
      <alignment vertical="top" wrapText="1"/>
    </xf>
    <xf numFmtId="49" fontId="11" fillId="2" borderId="4" xfId="0" applyNumberFormat="1" applyFont="1" applyFill="1" applyBorder="1" applyAlignment="1">
      <alignment vertical="top" wrapText="1"/>
    </xf>
    <xf numFmtId="0" fontId="12" fillId="2" borderId="5" xfId="0" applyFont="1" applyFill="1" applyBorder="1" applyAlignment="1">
      <alignment vertical="top"/>
    </xf>
    <xf numFmtId="0" fontId="12" fillId="2" borderId="0" xfId="0" applyFont="1" applyFill="1"/>
    <xf numFmtId="0" fontId="1" fillId="2" borderId="4" xfId="0" applyFont="1" applyFill="1" applyBorder="1" applyAlignment="1">
      <alignment horizontal="right" vertical="top" wrapText="1"/>
    </xf>
    <xf numFmtId="1" fontId="1" fillId="2" borderId="4" xfId="0" applyNumberFormat="1" applyFont="1" applyFill="1" applyBorder="1" applyAlignment="1">
      <alignment vertical="top" wrapText="1"/>
    </xf>
    <xf numFmtId="1" fontId="1" fillId="0" borderId="4" xfId="0" applyNumberFormat="1" applyFont="1" applyBorder="1" applyAlignment="1">
      <alignment vertical="top" wrapText="1"/>
    </xf>
    <xf numFmtId="1" fontId="11" fillId="2" borderId="4" xfId="0" applyNumberFormat="1" applyFont="1" applyFill="1" applyBorder="1" applyAlignment="1">
      <alignment vertical="top" wrapText="1"/>
    </xf>
    <xf numFmtId="0" fontId="1" fillId="0" borderId="2" xfId="0" applyFont="1" applyBorder="1" applyAlignment="1">
      <alignment vertical="top" wrapText="1"/>
    </xf>
    <xf numFmtId="49" fontId="1" fillId="0" borderId="0" xfId="0" applyNumberFormat="1" applyFont="1" applyBorder="1"/>
    <xf numFmtId="0" fontId="11" fillId="2" borderId="0" xfId="0" applyFont="1" applyFill="1" applyBorder="1" applyAlignment="1">
      <alignment vertical="top" wrapText="1"/>
    </xf>
    <xf numFmtId="14" fontId="11" fillId="2" borderId="0" xfId="0" applyNumberFormat="1" applyFont="1" applyFill="1" applyBorder="1" applyAlignment="1">
      <alignment vertical="top" wrapText="1"/>
    </xf>
    <xf numFmtId="167" fontId="11" fillId="2"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166" fontId="11" fillId="2" borderId="0" xfId="0" applyNumberFormat="1" applyFont="1" applyFill="1" applyBorder="1" applyAlignment="1">
      <alignment vertical="top" wrapText="1"/>
    </xf>
    <xf numFmtId="164" fontId="11" fillId="2" borderId="0" xfId="0" applyNumberFormat="1" applyFont="1" applyFill="1" applyBorder="1" applyAlignment="1">
      <alignment vertical="top" wrapText="1"/>
    </xf>
    <xf numFmtId="11" fontId="11" fillId="2" borderId="0" xfId="0" applyNumberFormat="1" applyFont="1" applyFill="1" applyBorder="1" applyAlignment="1">
      <alignment vertical="top" wrapText="1"/>
    </xf>
    <xf numFmtId="0" fontId="1" fillId="2" borderId="0" xfId="0" applyFont="1" applyFill="1" applyBorder="1" applyAlignment="1">
      <alignment vertical="top" wrapText="1"/>
    </xf>
    <xf numFmtId="165" fontId="11" fillId="2" borderId="0" xfId="0" applyNumberFormat="1" applyFont="1" applyFill="1" applyBorder="1" applyAlignment="1">
      <alignment vertical="top" wrapText="1"/>
    </xf>
    <xf numFmtId="49" fontId="11" fillId="2" borderId="0" xfId="0" applyNumberFormat="1" applyFont="1" applyFill="1" applyBorder="1" applyAlignment="1">
      <alignment vertical="top" wrapText="1"/>
    </xf>
    <xf numFmtId="0" fontId="12" fillId="2" borderId="0" xfId="0" applyFont="1" applyFill="1" applyBorder="1" applyAlignment="1">
      <alignment vertical="top"/>
    </xf>
    <xf numFmtId="0" fontId="1" fillId="0" borderId="2" xfId="0" applyFont="1" applyBorder="1" applyAlignment="1">
      <alignment vertical="top" wrapText="1"/>
    </xf>
    <xf numFmtId="0" fontId="1" fillId="0" borderId="7" xfId="0" applyFont="1" applyFill="1" applyBorder="1" applyAlignment="1">
      <alignment vertical="top" wrapText="1"/>
    </xf>
    <xf numFmtId="0" fontId="11" fillId="0" borderId="2" xfId="0" applyFont="1" applyFill="1" applyBorder="1" applyAlignment="1">
      <alignment vertical="top" wrapText="1"/>
    </xf>
    <xf numFmtId="14" fontId="11" fillId="0" borderId="4" xfId="0" applyNumberFormat="1" applyFont="1" applyFill="1" applyBorder="1" applyAlignment="1">
      <alignment vertical="top" wrapText="1"/>
    </xf>
    <xf numFmtId="167" fontId="11" fillId="0" borderId="4" xfId="0" applyNumberFormat="1" applyFont="1" applyFill="1" applyBorder="1" applyAlignment="1">
      <alignment vertical="top" wrapText="1"/>
    </xf>
    <xf numFmtId="2" fontId="11" fillId="0" borderId="4" xfId="0" applyNumberFormat="1" applyFont="1" applyFill="1" applyBorder="1" applyAlignment="1">
      <alignment vertical="top" wrapText="1"/>
    </xf>
    <xf numFmtId="166" fontId="11" fillId="0" borderId="4" xfId="0" applyNumberFormat="1" applyFont="1" applyFill="1" applyBorder="1" applyAlignment="1">
      <alignment vertical="top" wrapText="1"/>
    </xf>
    <xf numFmtId="164" fontId="11" fillId="0" borderId="4" xfId="0" applyNumberFormat="1" applyFont="1" applyFill="1" applyBorder="1" applyAlignment="1">
      <alignment vertical="top" wrapText="1"/>
    </xf>
    <xf numFmtId="0" fontId="11" fillId="0" borderId="4" xfId="0" applyFont="1" applyFill="1" applyBorder="1" applyAlignment="1">
      <alignment vertical="top" wrapText="1"/>
    </xf>
    <xf numFmtId="1" fontId="11" fillId="0" borderId="4" xfId="0" applyNumberFormat="1" applyFont="1" applyFill="1" applyBorder="1" applyAlignment="1">
      <alignment vertical="top" wrapText="1"/>
    </xf>
    <xf numFmtId="11" fontId="11" fillId="0" borderId="4" xfId="0" applyNumberFormat="1" applyFont="1" applyFill="1" applyBorder="1" applyAlignment="1">
      <alignment vertical="top" wrapText="1"/>
    </xf>
    <xf numFmtId="0" fontId="1" fillId="0" borderId="4" xfId="0" applyFont="1" applyFill="1" applyBorder="1" applyAlignment="1">
      <alignment vertical="top" wrapText="1"/>
    </xf>
    <xf numFmtId="165" fontId="11" fillId="0" borderId="4" xfId="0" applyNumberFormat="1" applyFont="1" applyFill="1" applyBorder="1" applyAlignment="1">
      <alignment vertical="top" wrapText="1"/>
    </xf>
    <xf numFmtId="49" fontId="11" fillId="0" borderId="4" xfId="0" applyNumberFormat="1" applyFont="1" applyFill="1" applyBorder="1" applyAlignment="1">
      <alignment vertical="top" wrapText="1"/>
    </xf>
    <xf numFmtId="0" fontId="12" fillId="0" borderId="5" xfId="0" applyFont="1" applyFill="1" applyBorder="1" applyAlignment="1">
      <alignment vertical="top"/>
    </xf>
    <xf numFmtId="0" fontId="12" fillId="0" borderId="0" xfId="0" applyFont="1" applyFill="1"/>
    <xf numFmtId="0" fontId="11" fillId="0" borderId="4" xfId="0" applyFont="1" applyFill="1" applyBorder="1" applyAlignment="1">
      <alignment horizontal="right" vertical="top" wrapText="1"/>
    </xf>
    <xf numFmtId="0" fontId="1" fillId="0" borderId="0" xfId="0" applyFont="1" applyAlignment="1">
      <alignment horizontal="left" vertical="center" indent="3"/>
    </xf>
    <xf numFmtId="0" fontId="13" fillId="0" borderId="1" xfId="0" applyFont="1" applyBorder="1" applyAlignment="1">
      <alignment vertical="top" wrapText="1"/>
    </xf>
    <xf numFmtId="0" fontId="13" fillId="0" borderId="3" xfId="0" applyFont="1" applyBorder="1" applyAlignment="1">
      <alignment vertical="top" wrapText="1"/>
    </xf>
    <xf numFmtId="0" fontId="17" fillId="0" borderId="3" xfId="0" applyFont="1" applyBorder="1" applyAlignment="1">
      <alignment vertical="top" wrapText="1"/>
    </xf>
    <xf numFmtId="0" fontId="17" fillId="0" borderId="1" xfId="0" applyFont="1" applyBorder="1" applyAlignment="1">
      <alignment vertical="top" wrapText="1"/>
    </xf>
    <xf numFmtId="0" fontId="13" fillId="0" borderId="2" xfId="0" applyFont="1" applyBorder="1" applyAlignment="1">
      <alignment vertical="top" wrapText="1"/>
    </xf>
    <xf numFmtId="0" fontId="17" fillId="0" borderId="4" xfId="0" applyFont="1" applyBorder="1" applyAlignment="1">
      <alignment vertical="top" wrapText="1"/>
    </xf>
    <xf numFmtId="0" fontId="17" fillId="0" borderId="2" xfId="0" applyFont="1" applyBorder="1" applyAlignment="1">
      <alignment vertical="top" wrapText="1"/>
    </xf>
    <xf numFmtId="0" fontId="11" fillId="2" borderId="11" xfId="0" applyFont="1" applyFill="1" applyBorder="1" applyAlignment="1">
      <alignment vertical="top" wrapText="1"/>
    </xf>
    <xf numFmtId="0" fontId="11" fillId="2" borderId="12" xfId="0" applyFont="1" applyFill="1" applyBorder="1" applyAlignment="1">
      <alignment vertical="top" wrapText="1"/>
    </xf>
    <xf numFmtId="14" fontId="11" fillId="2" borderId="12" xfId="0" applyNumberFormat="1" applyFont="1" applyFill="1" applyBorder="1" applyAlignment="1">
      <alignment vertical="top" wrapText="1"/>
    </xf>
    <xf numFmtId="167" fontId="11" fillId="2" borderId="12" xfId="0" applyNumberFormat="1" applyFont="1" applyFill="1" applyBorder="1" applyAlignment="1">
      <alignment vertical="top" wrapText="1"/>
    </xf>
    <xf numFmtId="2" fontId="11" fillId="2" borderId="12" xfId="0" applyNumberFormat="1" applyFont="1" applyFill="1" applyBorder="1" applyAlignment="1">
      <alignment vertical="top" wrapText="1"/>
    </xf>
    <xf numFmtId="166" fontId="11" fillId="2" borderId="12" xfId="0" applyNumberFormat="1" applyFont="1" applyFill="1" applyBorder="1" applyAlignment="1">
      <alignment vertical="top" wrapText="1"/>
    </xf>
    <xf numFmtId="164" fontId="11" fillId="2" borderId="12" xfId="0" applyNumberFormat="1" applyFont="1" applyFill="1" applyBorder="1" applyAlignment="1">
      <alignment vertical="top" wrapText="1"/>
    </xf>
    <xf numFmtId="1" fontId="11" fillId="2" borderId="12" xfId="0" applyNumberFormat="1" applyFont="1" applyFill="1" applyBorder="1" applyAlignment="1">
      <alignment vertical="top" wrapText="1"/>
    </xf>
    <xf numFmtId="11" fontId="11" fillId="2" borderId="12" xfId="0" applyNumberFormat="1" applyFont="1" applyFill="1" applyBorder="1" applyAlignment="1">
      <alignment vertical="top" wrapText="1"/>
    </xf>
    <xf numFmtId="165" fontId="11" fillId="2" borderId="12" xfId="0" applyNumberFormat="1" applyFont="1" applyFill="1" applyBorder="1" applyAlignment="1">
      <alignment vertical="top" wrapText="1"/>
    </xf>
    <xf numFmtId="49" fontId="11" fillId="2" borderId="12" xfId="0" applyNumberFormat="1" applyFont="1" applyFill="1" applyBorder="1" applyAlignment="1">
      <alignment vertical="top" wrapText="1"/>
    </xf>
    <xf numFmtId="0" fontId="12" fillId="2" borderId="1" xfId="0" applyFont="1" applyFill="1" applyBorder="1" applyAlignment="1">
      <alignment vertical="top"/>
    </xf>
    <xf numFmtId="0" fontId="11" fillId="2" borderId="13" xfId="0" applyFont="1" applyFill="1" applyBorder="1" applyAlignment="1">
      <alignment vertical="top" wrapText="1"/>
    </xf>
    <xf numFmtId="0" fontId="0" fillId="0" borderId="13" xfId="0" applyBorder="1"/>
    <xf numFmtId="0" fontId="12" fillId="2" borderId="13" xfId="0" applyFont="1" applyFill="1" applyBorder="1"/>
    <xf numFmtId="14" fontId="11" fillId="2" borderId="13" xfId="0" applyNumberFormat="1" applyFont="1" applyFill="1" applyBorder="1" applyAlignment="1">
      <alignment vertical="top" wrapText="1"/>
    </xf>
    <xf numFmtId="167" fontId="11" fillId="2" borderId="13" xfId="0" applyNumberFormat="1" applyFont="1" applyFill="1" applyBorder="1" applyAlignment="1">
      <alignment vertical="top" wrapText="1"/>
    </xf>
    <xf numFmtId="2" fontId="11" fillId="2" borderId="13" xfId="0" applyNumberFormat="1" applyFont="1" applyFill="1" applyBorder="1" applyAlignment="1">
      <alignment vertical="top" wrapText="1"/>
    </xf>
    <xf numFmtId="166" fontId="11" fillId="2" borderId="13" xfId="0" applyNumberFormat="1" applyFont="1" applyFill="1" applyBorder="1" applyAlignment="1">
      <alignment vertical="top" wrapText="1"/>
    </xf>
    <xf numFmtId="164" fontId="11" fillId="2" borderId="13" xfId="0" applyNumberFormat="1" applyFont="1" applyFill="1" applyBorder="1" applyAlignment="1">
      <alignment vertical="top" wrapText="1"/>
    </xf>
    <xf numFmtId="11" fontId="11" fillId="2" borderId="13" xfId="0" applyNumberFormat="1" applyFont="1" applyFill="1" applyBorder="1" applyAlignment="1">
      <alignment vertical="top" wrapText="1"/>
    </xf>
    <xf numFmtId="49" fontId="11" fillId="2" borderId="13" xfId="0" applyNumberFormat="1" applyFont="1" applyFill="1" applyBorder="1" applyAlignment="1">
      <alignment vertical="top" wrapText="1"/>
    </xf>
    <xf numFmtId="0" fontId="12" fillId="2" borderId="13" xfId="0" applyFont="1" applyFill="1" applyBorder="1" applyAlignment="1">
      <alignment vertical="top"/>
    </xf>
    <xf numFmtId="14" fontId="0" fillId="0" borderId="13" xfId="0" applyNumberFormat="1" applyBorder="1"/>
    <xf numFmtId="165" fontId="1" fillId="0" borderId="4" xfId="0" applyNumberFormat="1" applyFont="1" applyFill="1" applyBorder="1" applyAlignment="1">
      <alignment vertical="top" wrapText="1"/>
    </xf>
    <xf numFmtId="0" fontId="1" fillId="0" borderId="2" xfId="0" applyFont="1" applyFill="1" applyBorder="1" applyAlignment="1">
      <alignment vertical="top" wrapText="1"/>
    </xf>
    <xf numFmtId="14" fontId="1" fillId="0" borderId="4" xfId="0" applyNumberFormat="1" applyFont="1" applyFill="1" applyBorder="1" applyAlignment="1">
      <alignment vertical="top" wrapText="1"/>
    </xf>
    <xf numFmtId="167" fontId="1" fillId="0" borderId="4" xfId="0" applyNumberFormat="1" applyFont="1" applyFill="1" applyBorder="1" applyAlignment="1">
      <alignment vertical="top" wrapText="1"/>
    </xf>
    <xf numFmtId="2" fontId="1" fillId="0" borderId="4" xfId="0" applyNumberFormat="1" applyFont="1" applyFill="1" applyBorder="1" applyAlignment="1">
      <alignment vertical="top" wrapText="1"/>
    </xf>
    <xf numFmtId="166" fontId="1" fillId="0" borderId="4" xfId="0" applyNumberFormat="1" applyFont="1" applyFill="1" applyBorder="1" applyAlignment="1">
      <alignment vertical="top" wrapText="1"/>
    </xf>
    <xf numFmtId="164" fontId="1" fillId="0" borderId="4" xfId="0" applyNumberFormat="1" applyFont="1" applyFill="1" applyBorder="1" applyAlignment="1">
      <alignment vertical="top" wrapText="1"/>
    </xf>
    <xf numFmtId="1" fontId="1" fillId="0" borderId="4" xfId="0" applyNumberFormat="1" applyFont="1" applyFill="1" applyBorder="1" applyAlignment="1">
      <alignment vertical="top" wrapText="1"/>
    </xf>
    <xf numFmtId="11" fontId="1" fillId="0" borderId="4" xfId="0" applyNumberFormat="1" applyFont="1" applyFill="1" applyBorder="1" applyAlignment="1">
      <alignment vertical="top" wrapText="1"/>
    </xf>
    <xf numFmtId="49" fontId="1" fillId="0" borderId="4" xfId="0" applyNumberFormat="1" applyFont="1" applyFill="1" applyBorder="1" applyAlignment="1">
      <alignment vertical="top" wrapText="1"/>
    </xf>
    <xf numFmtId="0" fontId="0" fillId="0" borderId="5" xfId="0" applyFill="1" applyBorder="1" applyAlignment="1">
      <alignment vertical="top"/>
    </xf>
    <xf numFmtId="0" fontId="0" fillId="0" borderId="0" xfId="0" applyFill="1"/>
    <xf numFmtId="0" fontId="0" fillId="0" borderId="5" xfId="0" applyFont="1" applyFill="1" applyBorder="1" applyAlignment="1">
      <alignment vertical="top"/>
    </xf>
    <xf numFmtId="0" fontId="0" fillId="0" borderId="0" xfId="0" applyFont="1" applyFill="1"/>
    <xf numFmtId="0" fontId="0" fillId="0" borderId="10" xfId="0" applyFill="1" applyBorder="1"/>
    <xf numFmtId="11" fontId="1" fillId="0" borderId="9" xfId="0" applyNumberFormat="1" applyFont="1" applyBorder="1" applyAlignment="1">
      <alignment vertical="top" wrapText="1"/>
    </xf>
    <xf numFmtId="0" fontId="1" fillId="2" borderId="9" xfId="0" applyFont="1" applyFill="1" applyBorder="1" applyAlignment="1">
      <alignment vertical="top" wrapText="1"/>
    </xf>
    <xf numFmtId="11" fontId="1" fillId="2" borderId="9" xfId="0" applyNumberFormat="1" applyFont="1" applyFill="1" applyBorder="1" applyAlignment="1">
      <alignment vertical="top" wrapText="1"/>
    </xf>
    <xf numFmtId="0" fontId="1" fillId="0" borderId="9" xfId="0" applyFont="1" applyBorder="1" applyAlignment="1">
      <alignment vertical="top" wrapText="1"/>
    </xf>
    <xf numFmtId="0" fontId="1" fillId="0" borderId="9" xfId="0" applyFont="1" applyFill="1" applyBorder="1" applyAlignment="1">
      <alignment vertical="top" wrapText="1"/>
    </xf>
    <xf numFmtId="0" fontId="0" fillId="0" borderId="14" xfId="0" applyBorder="1"/>
    <xf numFmtId="11" fontId="1" fillId="0" borderId="5" xfId="0" applyNumberFormat="1" applyFont="1" applyBorder="1" applyAlignment="1">
      <alignment vertical="top" wrapText="1"/>
    </xf>
    <xf numFmtId="165" fontId="1" fillId="0" borderId="5" xfId="0" applyNumberFormat="1" applyFont="1" applyBorder="1" applyAlignment="1">
      <alignment vertical="top" wrapText="1"/>
    </xf>
    <xf numFmtId="49" fontId="1" fillId="0" borderId="5" xfId="0" applyNumberFormat="1" applyFont="1" applyBorder="1"/>
    <xf numFmtId="2" fontId="1" fillId="0" borderId="5" xfId="0" applyNumberFormat="1" applyFont="1" applyBorder="1"/>
    <xf numFmtId="165" fontId="1" fillId="0" borderId="5" xfId="0" applyNumberFormat="1" applyFont="1" applyBorder="1"/>
    <xf numFmtId="49" fontId="1" fillId="0" borderId="5" xfId="0" applyNumberFormat="1" applyFont="1" applyBorder="1" applyAlignment="1">
      <alignment vertical="top" wrapText="1"/>
    </xf>
    <xf numFmtId="0" fontId="1" fillId="0" borderId="5" xfId="0" applyNumberFormat="1" applyFont="1" applyBorder="1" applyAlignment="1">
      <alignment vertical="top" wrapText="1"/>
    </xf>
    <xf numFmtId="2" fontId="1" fillId="0" borderId="5" xfId="0" applyNumberFormat="1" applyFont="1" applyBorder="1" applyAlignment="1">
      <alignment vertical="top" wrapText="1"/>
    </xf>
    <xf numFmtId="0" fontId="1" fillId="2" borderId="5" xfId="0" applyFont="1" applyFill="1" applyBorder="1" applyAlignment="1">
      <alignment vertical="top" wrapText="1"/>
    </xf>
    <xf numFmtId="165" fontId="1" fillId="2" borderId="5" xfId="0" applyNumberFormat="1" applyFont="1" applyFill="1" applyBorder="1" applyAlignment="1">
      <alignment vertical="top" wrapText="1"/>
    </xf>
    <xf numFmtId="49" fontId="1" fillId="2" borderId="5" xfId="0" applyNumberFormat="1" applyFont="1" applyFill="1" applyBorder="1" applyAlignment="1">
      <alignment vertical="top" wrapText="1"/>
    </xf>
    <xf numFmtId="0" fontId="1" fillId="2" borderId="5" xfId="0" applyNumberFormat="1" applyFont="1" applyFill="1" applyBorder="1" applyAlignment="1">
      <alignment vertical="top" wrapText="1"/>
    </xf>
    <xf numFmtId="11" fontId="1" fillId="2" borderId="5" xfId="0" applyNumberFormat="1" applyFont="1" applyFill="1" applyBorder="1" applyAlignment="1">
      <alignment vertical="top" wrapText="1"/>
    </xf>
    <xf numFmtId="0" fontId="1" fillId="0" borderId="5" xfId="0" applyFont="1" applyBorder="1" applyAlignment="1">
      <alignment vertical="top" wrapText="1"/>
    </xf>
    <xf numFmtId="0" fontId="11" fillId="2" borderId="5" xfId="0" applyFont="1" applyFill="1" applyBorder="1" applyAlignment="1">
      <alignment vertical="top" wrapText="1"/>
    </xf>
    <xf numFmtId="165" fontId="11" fillId="2" borderId="5" xfId="0" applyNumberFormat="1" applyFont="1" applyFill="1" applyBorder="1" applyAlignment="1">
      <alignment vertical="top" wrapText="1"/>
    </xf>
    <xf numFmtId="49" fontId="11" fillId="2" borderId="5" xfId="0" applyNumberFormat="1" applyFont="1" applyFill="1" applyBorder="1" applyAlignment="1">
      <alignment vertical="top" wrapText="1"/>
    </xf>
    <xf numFmtId="2" fontId="11" fillId="2" borderId="5" xfId="0" applyNumberFormat="1" applyFont="1" applyFill="1" applyBorder="1" applyAlignment="1">
      <alignment vertical="top" wrapText="1"/>
    </xf>
    <xf numFmtId="0" fontId="11" fillId="0" borderId="5" xfId="0" applyFont="1" applyFill="1" applyBorder="1" applyAlignment="1">
      <alignment vertical="top" wrapText="1"/>
    </xf>
    <xf numFmtId="165" fontId="11" fillId="0" borderId="5" xfId="0" applyNumberFormat="1" applyFont="1" applyFill="1" applyBorder="1" applyAlignment="1">
      <alignment vertical="top" wrapText="1"/>
    </xf>
    <xf numFmtId="49" fontId="11" fillId="0" borderId="5" xfId="0" applyNumberFormat="1" applyFont="1" applyFill="1" applyBorder="1" applyAlignment="1">
      <alignment vertical="top" wrapText="1"/>
    </xf>
    <xf numFmtId="0" fontId="11" fillId="0" borderId="5" xfId="0" applyNumberFormat="1" applyFont="1" applyFill="1" applyBorder="1" applyAlignment="1">
      <alignment vertical="top" wrapText="1"/>
    </xf>
    <xf numFmtId="165" fontId="1" fillId="0" borderId="5" xfId="0" applyNumberFormat="1" applyFont="1" applyFill="1" applyBorder="1"/>
    <xf numFmtId="0" fontId="1" fillId="0" borderId="5" xfId="0" applyFont="1" applyFill="1" applyBorder="1" applyAlignment="1">
      <alignment vertical="top" wrapText="1"/>
    </xf>
    <xf numFmtId="165" fontId="1" fillId="0" borderId="5" xfId="0" applyNumberFormat="1" applyFont="1" applyFill="1" applyBorder="1" applyAlignment="1">
      <alignment vertical="top" wrapText="1"/>
    </xf>
    <xf numFmtId="49" fontId="1" fillId="0" borderId="5" xfId="0" applyNumberFormat="1" applyFont="1" applyFill="1" applyBorder="1" applyAlignment="1">
      <alignment vertical="top" wrapText="1"/>
    </xf>
    <xf numFmtId="0" fontId="1" fillId="0" borderId="5" xfId="0" applyNumberFormat="1" applyFont="1" applyFill="1" applyBorder="1" applyAlignment="1">
      <alignment vertical="top" wrapText="1"/>
    </xf>
    <xf numFmtId="0" fontId="11" fillId="2" borderId="5" xfId="0" applyNumberFormat="1" applyFont="1" applyFill="1" applyBorder="1" applyAlignment="1">
      <alignment vertical="top" wrapText="1"/>
    </xf>
    <xf numFmtId="0" fontId="0" fillId="0" borderId="5" xfId="0" applyBorder="1"/>
    <xf numFmtId="47" fontId="0" fillId="0" borderId="13" xfId="0" applyNumberFormat="1" applyBorder="1"/>
    <xf numFmtId="21" fontId="0" fillId="0" borderId="13" xfId="0" applyNumberFormat="1" applyBorder="1"/>
    <xf numFmtId="0" fontId="0" fillId="0" borderId="0" xfId="0" applyAlignment="1">
      <alignment wrapText="1"/>
    </xf>
    <xf numFmtId="0" fontId="1" fillId="0" borderId="0" xfId="0" applyFont="1" applyFill="1" applyBorder="1" applyAlignment="1">
      <alignment vertical="top" wrapText="1"/>
    </xf>
    <xf numFmtId="0" fontId="1" fillId="0" borderId="16" xfId="0" applyFont="1" applyBorder="1" applyAlignment="1">
      <alignment vertical="center" wrapText="1"/>
    </xf>
    <xf numFmtId="0" fontId="19" fillId="0" borderId="0" xfId="0" applyFont="1" applyAlignment="1">
      <alignment vertical="center" wrapText="1"/>
    </xf>
    <xf numFmtId="49" fontId="1" fillId="0" borderId="15" xfId="0" applyNumberFormat="1" applyFont="1" applyBorder="1" applyAlignment="1">
      <alignment vertical="center" wrapText="1"/>
    </xf>
    <xf numFmtId="49" fontId="1" fillId="0" borderId="16" xfId="0" applyNumberFormat="1" applyFont="1" applyBorder="1" applyAlignment="1">
      <alignment vertical="center" wrapText="1"/>
    </xf>
    <xf numFmtId="0" fontId="1" fillId="0" borderId="1" xfId="0" applyFont="1" applyBorder="1" applyAlignment="1">
      <alignment vertical="top" wrapText="1"/>
    </xf>
    <xf numFmtId="0" fontId="1" fillId="0" borderId="2" xfId="0" applyFont="1" applyBorder="1" applyAlignment="1">
      <alignment vertical="top" wrapText="1"/>
    </xf>
    <xf numFmtId="49" fontId="19" fillId="0" borderId="0" xfId="0" applyNumberFormat="1" applyFont="1" applyAlignment="1">
      <alignment vertical="center" wrapText="1"/>
    </xf>
    <xf numFmtId="0" fontId="12" fillId="2" borderId="15" xfId="0" applyFont="1" applyFill="1" applyBorder="1"/>
    <xf numFmtId="0" fontId="11" fillId="2" borderId="15" xfId="0" applyFont="1" applyFill="1" applyBorder="1" applyAlignment="1">
      <alignment vertical="top" wrapText="1"/>
    </xf>
    <xf numFmtId="14" fontId="11" fillId="2" borderId="15" xfId="0" applyNumberFormat="1" applyFont="1" applyFill="1" applyBorder="1" applyAlignment="1">
      <alignment vertical="top" wrapText="1"/>
    </xf>
    <xf numFmtId="167" fontId="11" fillId="2" borderId="15" xfId="0" applyNumberFormat="1" applyFont="1" applyFill="1" applyBorder="1" applyAlignment="1">
      <alignment vertical="top" wrapText="1"/>
    </xf>
    <xf numFmtId="2" fontId="11" fillId="2" borderId="15" xfId="0" applyNumberFormat="1" applyFont="1" applyFill="1" applyBorder="1" applyAlignment="1">
      <alignment vertical="top" wrapText="1"/>
    </xf>
    <xf numFmtId="166" fontId="11" fillId="2" borderId="15" xfId="0" applyNumberFormat="1" applyFont="1" applyFill="1" applyBorder="1" applyAlignment="1">
      <alignment vertical="top" wrapText="1"/>
    </xf>
    <xf numFmtId="164" fontId="11" fillId="2" borderId="15" xfId="0" applyNumberFormat="1" applyFont="1" applyFill="1" applyBorder="1" applyAlignment="1">
      <alignment vertical="top" wrapText="1"/>
    </xf>
    <xf numFmtId="11" fontId="11" fillId="2" borderId="15" xfId="0" applyNumberFormat="1" applyFont="1" applyFill="1" applyBorder="1" applyAlignment="1">
      <alignment vertical="top" wrapText="1"/>
    </xf>
    <xf numFmtId="0" fontId="11" fillId="0" borderId="12" xfId="0" applyFont="1" applyFill="1" applyBorder="1" applyAlignment="1">
      <alignment vertical="top" wrapText="1"/>
    </xf>
    <xf numFmtId="0" fontId="11" fillId="2" borderId="1" xfId="0" applyFont="1" applyFill="1" applyBorder="1" applyAlignment="1">
      <alignment vertical="top" wrapText="1"/>
    </xf>
    <xf numFmtId="165" fontId="11" fillId="2" borderId="1" xfId="0" applyNumberFormat="1" applyFont="1" applyFill="1" applyBorder="1" applyAlignment="1">
      <alignment vertical="top" wrapText="1"/>
    </xf>
    <xf numFmtId="49" fontId="11" fillId="2" borderId="1" xfId="0" applyNumberFormat="1" applyFont="1" applyFill="1" applyBorder="1" applyAlignment="1">
      <alignment vertical="top" wrapText="1"/>
    </xf>
    <xf numFmtId="2" fontId="11" fillId="2" borderId="1" xfId="0" applyNumberFormat="1" applyFont="1" applyFill="1" applyBorder="1" applyAlignment="1">
      <alignment vertical="top" wrapText="1"/>
    </xf>
    <xf numFmtId="165" fontId="1" fillId="0" borderId="1" xfId="0" applyNumberFormat="1" applyFont="1" applyFill="1" applyBorder="1"/>
    <xf numFmtId="49" fontId="11" fillId="2" borderId="17" xfId="0" applyNumberFormat="1" applyFont="1" applyFill="1" applyBorder="1" applyAlignment="1">
      <alignment vertical="top" wrapText="1"/>
    </xf>
    <xf numFmtId="49" fontId="11" fillId="2" borderId="15" xfId="0" applyNumberFormat="1" applyFont="1" applyFill="1" applyBorder="1" applyAlignment="1">
      <alignment vertical="top" wrapText="1"/>
    </xf>
    <xf numFmtId="0" fontId="1" fillId="2" borderId="13" xfId="0" applyFont="1" applyFill="1" applyBorder="1" applyAlignment="1">
      <alignment vertical="top" wrapText="1"/>
    </xf>
    <xf numFmtId="165" fontId="11" fillId="2" borderId="13" xfId="0" applyNumberFormat="1" applyFont="1" applyFill="1" applyBorder="1" applyAlignment="1">
      <alignment vertical="top" wrapText="1"/>
    </xf>
    <xf numFmtId="0" fontId="1" fillId="0" borderId="12" xfId="0" applyFont="1" applyFill="1" applyBorder="1" applyAlignment="1">
      <alignment vertical="top" wrapText="1"/>
    </xf>
    <xf numFmtId="0" fontId="12" fillId="2" borderId="15" xfId="0" applyFont="1" applyFill="1" applyBorder="1" applyAlignment="1">
      <alignment vertical="top"/>
    </xf>
    <xf numFmtId="49" fontId="12" fillId="2" borderId="0" xfId="0" applyNumberFormat="1" applyFont="1" applyFill="1"/>
    <xf numFmtId="2" fontId="0" fillId="0" borderId="0" xfId="0" applyNumberFormat="1"/>
    <xf numFmtId="2" fontId="0" fillId="4" borderId="0" xfId="0" applyNumberFormat="1" applyFill="1"/>
    <xf numFmtId="2" fontId="0" fillId="2" borderId="0" xfId="0" applyNumberFormat="1" applyFill="1"/>
    <xf numFmtId="2" fontId="12" fillId="2" borderId="0" xfId="0" applyNumberFormat="1" applyFont="1" applyFill="1"/>
    <xf numFmtId="2" fontId="12" fillId="0" borderId="0" xfId="0" applyNumberFormat="1" applyFont="1" applyFill="1"/>
    <xf numFmtId="2" fontId="0" fillId="0" borderId="0" xfId="0" applyNumberFormat="1" applyFill="1"/>
    <xf numFmtId="2" fontId="0" fillId="0" borderId="0" xfId="0" applyNumberFormat="1" applyFont="1" applyFill="1"/>
    <xf numFmtId="2" fontId="0" fillId="3" borderId="0" xfId="0" applyNumberFormat="1" applyFill="1"/>
    <xf numFmtId="0" fontId="21" fillId="0" borderId="0" xfId="0" applyFont="1"/>
    <xf numFmtId="0" fontId="1" fillId="5" borderId="6" xfId="0" applyFont="1" applyFill="1" applyBorder="1" applyAlignment="1">
      <alignment vertical="top" wrapText="1"/>
    </xf>
    <xf numFmtId="0" fontId="9" fillId="5" borderId="8" xfId="0" applyFont="1" applyFill="1" applyBorder="1"/>
    <xf numFmtId="0" fontId="0" fillId="5" borderId="5" xfId="0" applyFill="1" applyBorder="1" applyAlignment="1">
      <alignment vertical="top"/>
    </xf>
    <xf numFmtId="0" fontId="12" fillId="5" borderId="5" xfId="0" applyFont="1" applyFill="1" applyBorder="1" applyAlignment="1">
      <alignment vertical="top"/>
    </xf>
    <xf numFmtId="0" fontId="0" fillId="5" borderId="5" xfId="0" applyFont="1" applyFill="1" applyBorder="1" applyAlignment="1">
      <alignment vertical="top"/>
    </xf>
    <xf numFmtId="0" fontId="12" fillId="5" borderId="1" xfId="0" applyFont="1" applyFill="1" applyBorder="1" applyAlignment="1">
      <alignment vertical="top"/>
    </xf>
    <xf numFmtId="0" fontId="0" fillId="5" borderId="13" xfId="0" applyFill="1" applyBorder="1"/>
    <xf numFmtId="0" fontId="12" fillId="5" borderId="15" xfId="0" applyFont="1" applyFill="1" applyBorder="1" applyAlignment="1">
      <alignment vertical="top"/>
    </xf>
    <xf numFmtId="0" fontId="12" fillId="5" borderId="13" xfId="0" applyFont="1" applyFill="1" applyBorder="1" applyAlignment="1">
      <alignment vertical="top"/>
    </xf>
    <xf numFmtId="0" fontId="12" fillId="5" borderId="0" xfId="0" applyFont="1" applyFill="1" applyBorder="1" applyAlignment="1">
      <alignment vertical="top"/>
    </xf>
    <xf numFmtId="0" fontId="0" fillId="5" borderId="0" xfId="0" applyFill="1"/>
    <xf numFmtId="0" fontId="1" fillId="0" borderId="4" xfId="0" applyFont="1" applyBorder="1" applyAlignment="1">
      <alignment vertical="top"/>
    </xf>
    <xf numFmtId="0" fontId="1" fillId="0" borderId="15" xfId="0" applyFont="1" applyBorder="1" applyAlignment="1">
      <alignment vertical="center" wrapText="1"/>
    </xf>
    <xf numFmtId="0" fontId="1" fillId="0" borderId="16" xfId="0" applyFont="1" applyBorder="1" applyAlignment="1">
      <alignment vertical="center" wrapText="1"/>
    </xf>
    <xf numFmtId="0" fontId="23" fillId="0" borderId="15" xfId="0" applyFont="1" applyBorder="1" applyAlignment="1">
      <alignment vertical="center" wrapText="1"/>
    </xf>
    <xf numFmtId="49" fontId="20" fillId="0" borderId="15" xfId="0" applyNumberFormat="1" applyFont="1" applyBorder="1" applyAlignment="1">
      <alignment vertical="center" wrapText="1"/>
    </xf>
    <xf numFmtId="49" fontId="1" fillId="0" borderId="16" xfId="0" applyNumberFormat="1" applyFont="1" applyBorder="1" applyAlignment="1">
      <alignment vertical="center" wrapText="1"/>
    </xf>
    <xf numFmtId="49" fontId="5" fillId="0" borderId="15" xfId="0" applyNumberFormat="1" applyFont="1" applyBorder="1" applyAlignment="1">
      <alignment vertical="center" wrapText="1"/>
    </xf>
    <xf numFmtId="49" fontId="1" fillId="0" borderId="15" xfId="0" applyNumberFormat="1" applyFont="1" applyBorder="1" applyAlignment="1">
      <alignment vertical="center"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7" xfId="0" applyFont="1" applyFill="1" applyBorder="1" applyAlignment="1">
      <alignment vertical="top" wrapText="1"/>
    </xf>
    <xf numFmtId="0" fontId="0" fillId="0" borderId="9" xfId="0" applyBorder="1" applyAlignment="1"/>
    <xf numFmtId="0" fontId="5" fillId="0" borderId="1" xfId="0" applyFont="1" applyBorder="1" applyAlignment="1">
      <alignment vertical="top" wrapText="1"/>
    </xf>
    <xf numFmtId="0" fontId="5" fillId="0" borderId="2" xfId="0" applyFont="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7" fillId="0" borderId="1" xfId="0" applyFont="1" applyBorder="1" applyAlignment="1">
      <alignment vertical="top" wrapText="1"/>
    </xf>
    <xf numFmtId="0" fontId="17" fillId="0" borderId="2" xfId="0" applyFont="1" applyBorder="1" applyAlignment="1">
      <alignment vertical="top" wrapText="1"/>
    </xf>
    <xf numFmtId="0" fontId="11" fillId="2" borderId="9" xfId="0" applyFont="1" applyFill="1" applyBorder="1" applyAlignment="1">
      <alignment vertical="top" wrapText="1"/>
    </xf>
    <xf numFmtId="0" fontId="11" fillId="0" borderId="9" xfId="0" applyFont="1" applyFill="1" applyBorder="1" applyAlignment="1">
      <alignment vertical="top" wrapText="1"/>
    </xf>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78"/>
  <sheetViews>
    <sheetView tabSelected="1" zoomScaleNormal="100" workbookViewId="0">
      <pane xSplit="1" topLeftCell="W1" activePane="topRight" state="frozen"/>
      <selection pane="topRight" activeCell="AC4" sqref="AC4"/>
    </sheetView>
  </sheetViews>
  <sheetFormatPr defaultRowHeight="15"/>
  <cols>
    <col min="1" max="1" width="22.140625" customWidth="1"/>
    <col min="2" max="2" width="14.85546875" customWidth="1"/>
    <col min="3" max="3" width="12.5703125" customWidth="1"/>
    <col min="4" max="4" width="16" customWidth="1"/>
    <col min="5" max="6" width="12.5703125" customWidth="1"/>
    <col min="7" max="7" width="12.140625" customWidth="1"/>
    <col min="8" max="9" width="12.5703125" customWidth="1"/>
    <col min="10" max="10" width="13.42578125" customWidth="1"/>
    <col min="11" max="14" width="9.140625" customWidth="1"/>
    <col min="15" max="17" width="9.85546875" customWidth="1"/>
    <col min="18" max="25" width="9.140625" customWidth="1"/>
    <col min="26" max="26" width="10.5703125" customWidth="1"/>
    <col min="27" max="29" width="9.140625" customWidth="1"/>
    <col min="30" max="33" width="9.85546875" customWidth="1"/>
    <col min="34" max="40" width="11.85546875" customWidth="1"/>
    <col min="41" max="45" width="14.85546875" customWidth="1"/>
    <col min="46" max="51" width="11.85546875" customWidth="1"/>
    <col min="52" max="61" width="9.140625" customWidth="1"/>
    <col min="62" max="65" width="9.5703125" customWidth="1"/>
    <col min="66" max="66" width="13.42578125" customWidth="1"/>
    <col min="67" max="67" width="10.42578125" style="230" customWidth="1"/>
    <col min="68" max="68" width="10.42578125" customWidth="1"/>
    <col min="69" max="69" width="13.42578125" customWidth="1"/>
    <col min="70" max="70" width="15.7109375" customWidth="1"/>
    <col min="71" max="71" width="14.7109375" customWidth="1"/>
    <col min="72" max="72" width="17.5703125" customWidth="1"/>
    <col min="75" max="75" width="13.140625" bestFit="1" customWidth="1"/>
    <col min="76" max="76" width="13.140625" customWidth="1"/>
    <col min="77" max="77" width="13.140625" bestFit="1" customWidth="1"/>
    <col min="78" max="78" width="13.140625" customWidth="1"/>
    <col min="80" max="80" width="9.7109375" bestFit="1" customWidth="1"/>
    <col min="81" max="81" width="13.140625" bestFit="1" customWidth="1"/>
    <col min="82" max="82" width="13.140625" customWidth="1"/>
    <col min="84" max="84" width="11.5703125" customWidth="1"/>
  </cols>
  <sheetData>
    <row r="1" spans="1:87" ht="30.75" customHeight="1">
      <c r="A1" s="239" t="s">
        <v>257</v>
      </c>
      <c r="B1" s="239" t="s">
        <v>130</v>
      </c>
      <c r="C1" s="239" t="s">
        <v>1</v>
      </c>
      <c r="D1" s="17" t="s">
        <v>234</v>
      </c>
      <c r="E1" s="23" t="s">
        <v>263</v>
      </c>
      <c r="F1" s="35" t="s">
        <v>300</v>
      </c>
      <c r="G1" s="35" t="s">
        <v>300</v>
      </c>
      <c r="H1" s="17" t="s">
        <v>231</v>
      </c>
      <c r="I1" s="17" t="s">
        <v>231</v>
      </c>
      <c r="J1" s="239" t="s">
        <v>2</v>
      </c>
      <c r="K1" s="239" t="s">
        <v>3</v>
      </c>
      <c r="L1" s="3" t="s">
        <v>4</v>
      </c>
      <c r="M1" s="3" t="s">
        <v>264</v>
      </c>
      <c r="N1" s="3" t="s">
        <v>41</v>
      </c>
      <c r="O1" s="3" t="s">
        <v>42</v>
      </c>
      <c r="P1" s="3" t="s">
        <v>42</v>
      </c>
      <c r="Q1" s="3" t="s">
        <v>277</v>
      </c>
      <c r="R1" s="3" t="s">
        <v>43</v>
      </c>
      <c r="S1" s="3" t="s">
        <v>265</v>
      </c>
      <c r="T1" s="3" t="s">
        <v>46</v>
      </c>
      <c r="U1" s="3" t="s">
        <v>46</v>
      </c>
      <c r="V1" s="3" t="s">
        <v>44</v>
      </c>
      <c r="W1" s="3" t="s">
        <v>44</v>
      </c>
      <c r="X1" s="3" t="s">
        <v>45</v>
      </c>
      <c r="Y1" s="3" t="s">
        <v>45</v>
      </c>
      <c r="Z1" s="3" t="s">
        <v>533</v>
      </c>
      <c r="AA1" s="3" t="s">
        <v>34</v>
      </c>
      <c r="AB1" s="3" t="s">
        <v>267</v>
      </c>
      <c r="AC1" s="3" t="s">
        <v>689</v>
      </c>
      <c r="AD1" s="3" t="s">
        <v>35</v>
      </c>
      <c r="AE1" s="3" t="s">
        <v>35</v>
      </c>
      <c r="AF1" s="3" t="s">
        <v>248</v>
      </c>
      <c r="AG1" s="3" t="s">
        <v>248</v>
      </c>
      <c r="AH1" s="3" t="s">
        <v>40</v>
      </c>
      <c r="AI1" s="3" t="s">
        <v>49</v>
      </c>
      <c r="AJ1" s="3" t="s">
        <v>49</v>
      </c>
      <c r="AK1" s="3" t="s">
        <v>543</v>
      </c>
      <c r="AL1" s="3" t="s">
        <v>545</v>
      </c>
      <c r="AM1" s="3" t="s">
        <v>534</v>
      </c>
      <c r="AN1" s="3" t="s">
        <v>81</v>
      </c>
      <c r="AO1" s="3" t="s">
        <v>132</v>
      </c>
      <c r="AP1" s="10" t="s">
        <v>386</v>
      </c>
      <c r="AQ1" s="10" t="s">
        <v>387</v>
      </c>
      <c r="AR1" s="10" t="s">
        <v>388</v>
      </c>
      <c r="AS1" s="10" t="s">
        <v>389</v>
      </c>
      <c r="AT1" s="10" t="s">
        <v>96</v>
      </c>
      <c r="AU1" s="10" t="s">
        <v>268</v>
      </c>
      <c r="AV1" s="10" t="s">
        <v>97</v>
      </c>
      <c r="AW1" s="10" t="s">
        <v>269</v>
      </c>
      <c r="AX1" s="10" t="s">
        <v>470</v>
      </c>
      <c r="AY1" s="10" t="s">
        <v>472</v>
      </c>
      <c r="AZ1" s="239" t="s">
        <v>271</v>
      </c>
      <c r="BA1" s="25" t="s">
        <v>270</v>
      </c>
      <c r="BB1" s="239" t="s">
        <v>31</v>
      </c>
      <c r="BC1" s="23" t="s">
        <v>272</v>
      </c>
      <c r="BD1" s="239" t="s">
        <v>6</v>
      </c>
      <c r="BE1" s="23" t="s">
        <v>273</v>
      </c>
      <c r="BF1" s="187" t="s">
        <v>506</v>
      </c>
      <c r="BG1" s="187" t="s">
        <v>507</v>
      </c>
      <c r="BH1" s="239" t="s">
        <v>7</v>
      </c>
      <c r="BI1" s="23" t="s">
        <v>274</v>
      </c>
      <c r="BJ1" s="243" t="s">
        <v>8</v>
      </c>
      <c r="BK1" s="25" t="s">
        <v>275</v>
      </c>
      <c r="BL1" s="25" t="s">
        <v>241</v>
      </c>
      <c r="BM1" s="25" t="s">
        <v>276</v>
      </c>
      <c r="BN1" s="239" t="s">
        <v>291</v>
      </c>
      <c r="BO1" s="220" t="s">
        <v>292</v>
      </c>
      <c r="BP1" s="27" t="s">
        <v>292</v>
      </c>
      <c r="BQ1" s="28" t="s">
        <v>283</v>
      </c>
      <c r="BR1" s="241" t="s">
        <v>293</v>
      </c>
      <c r="BS1" s="29" t="s">
        <v>290</v>
      </c>
      <c r="BT1" s="182" t="s">
        <v>631</v>
      </c>
      <c r="BU1" s="232" t="s">
        <v>633</v>
      </c>
      <c r="BV1" s="234" t="s">
        <v>642</v>
      </c>
      <c r="BW1" s="238" t="s">
        <v>636</v>
      </c>
      <c r="BX1" s="235" t="s">
        <v>640</v>
      </c>
      <c r="BY1" s="238" t="s">
        <v>637</v>
      </c>
      <c r="BZ1" s="237" t="s">
        <v>641</v>
      </c>
      <c r="CA1" s="232" t="s">
        <v>634</v>
      </c>
      <c r="CB1" s="185" t="s">
        <v>646</v>
      </c>
      <c r="CC1" s="238" t="s">
        <v>638</v>
      </c>
      <c r="CD1" s="185" t="s">
        <v>643</v>
      </c>
      <c r="CE1" s="232" t="s">
        <v>639</v>
      </c>
      <c r="CF1" s="185" t="s">
        <v>644</v>
      </c>
      <c r="CG1" s="232" t="s">
        <v>635</v>
      </c>
      <c r="CH1" s="189" t="s">
        <v>645</v>
      </c>
      <c r="CI1" t="s">
        <v>668</v>
      </c>
    </row>
    <row r="2" spans="1:87" ht="16.5" customHeight="1" thickBot="1">
      <c r="A2" s="240"/>
      <c r="B2" s="240"/>
      <c r="C2" s="240"/>
      <c r="D2" s="18" t="s">
        <v>235</v>
      </c>
      <c r="E2" s="24" t="s">
        <v>50</v>
      </c>
      <c r="F2" s="36" t="s">
        <v>233</v>
      </c>
      <c r="G2" s="36" t="s">
        <v>301</v>
      </c>
      <c r="H2" s="18" t="s">
        <v>233</v>
      </c>
      <c r="I2" s="18" t="s">
        <v>232</v>
      </c>
      <c r="J2" s="240"/>
      <c r="K2" s="240"/>
      <c r="L2" s="4" t="s">
        <v>5</v>
      </c>
      <c r="M2" s="4" t="s">
        <v>5</v>
      </c>
      <c r="N2" s="4" t="s">
        <v>5</v>
      </c>
      <c r="O2" s="4" t="s">
        <v>36</v>
      </c>
      <c r="P2" s="4" t="s">
        <v>266</v>
      </c>
      <c r="Q2" s="4" t="s">
        <v>278</v>
      </c>
      <c r="R2" s="4" t="s">
        <v>37</v>
      </c>
      <c r="S2" s="4" t="s">
        <v>266</v>
      </c>
      <c r="T2" s="4" t="s">
        <v>38</v>
      </c>
      <c r="U2" s="4" t="s">
        <v>266</v>
      </c>
      <c r="V2" s="4" t="s">
        <v>38</v>
      </c>
      <c r="W2" s="4" t="s">
        <v>266</v>
      </c>
      <c r="X2" s="4" t="s">
        <v>38</v>
      </c>
      <c r="Y2" s="4" t="s">
        <v>266</v>
      </c>
      <c r="Z2" s="4"/>
      <c r="AA2" s="4" t="s">
        <v>39</v>
      </c>
      <c r="AB2" s="4" t="s">
        <v>266</v>
      </c>
      <c r="AC2" s="4" t="s">
        <v>690</v>
      </c>
      <c r="AD2" s="4"/>
      <c r="AE2" s="4" t="s">
        <v>266</v>
      </c>
      <c r="AF2" s="4"/>
      <c r="AG2" s="4" t="s">
        <v>266</v>
      </c>
      <c r="AH2" s="4"/>
      <c r="AI2" s="4" t="s">
        <v>50</v>
      </c>
      <c r="AJ2" s="4" t="s">
        <v>266</v>
      </c>
      <c r="AK2" s="4" t="s">
        <v>544</v>
      </c>
      <c r="AL2" s="4" t="s">
        <v>546</v>
      </c>
      <c r="AM2" s="4" t="s">
        <v>5</v>
      </c>
      <c r="AN2" s="4"/>
      <c r="AO2" s="4"/>
      <c r="AP2" s="4" t="s">
        <v>100</v>
      </c>
      <c r="AQ2" s="4"/>
      <c r="AR2" s="4" t="s">
        <v>100</v>
      </c>
      <c r="AS2" s="4"/>
      <c r="AT2" s="4" t="s">
        <v>100</v>
      </c>
      <c r="AU2" s="4"/>
      <c r="AV2" s="4" t="s">
        <v>100</v>
      </c>
      <c r="AW2" s="4"/>
      <c r="AX2" s="4" t="s">
        <v>5</v>
      </c>
      <c r="AY2" s="4" t="s">
        <v>5</v>
      </c>
      <c r="AZ2" s="240"/>
      <c r="BA2" s="24"/>
      <c r="BB2" s="240"/>
      <c r="BC2" s="24"/>
      <c r="BD2" s="240"/>
      <c r="BE2" s="24"/>
      <c r="BF2" s="188" t="s">
        <v>688</v>
      </c>
      <c r="BG2" s="188" t="s">
        <v>688</v>
      </c>
      <c r="BH2" s="240"/>
      <c r="BI2" s="24"/>
      <c r="BJ2" s="244"/>
      <c r="BK2" s="26"/>
      <c r="BL2" s="19"/>
      <c r="BM2" s="26"/>
      <c r="BN2" s="240"/>
      <c r="BO2" s="221"/>
      <c r="BP2" s="31" t="s">
        <v>266</v>
      </c>
      <c r="BQ2" s="31"/>
      <c r="BR2" s="242"/>
      <c r="BS2" s="32"/>
      <c r="BT2" t="s">
        <v>632</v>
      </c>
      <c r="BU2" s="233"/>
      <c r="BV2" s="233"/>
      <c r="BW2" s="236"/>
      <c r="BX2" s="236"/>
      <c r="BY2" s="236"/>
      <c r="BZ2" s="236"/>
      <c r="CA2" s="233"/>
      <c r="CB2" s="183"/>
      <c r="CC2" s="236"/>
      <c r="CD2" s="186"/>
      <c r="CE2" s="233"/>
      <c r="CF2" s="183"/>
      <c r="CG2" s="233"/>
      <c r="CH2" s="184"/>
    </row>
    <row r="3" spans="1:87" ht="16.5" thickBot="1">
      <c r="A3" s="67" t="s">
        <v>9</v>
      </c>
      <c r="B3" s="67">
        <v>1</v>
      </c>
      <c r="C3" s="5">
        <v>21647</v>
      </c>
      <c r="D3" s="38">
        <v>0.81273148148148155</v>
      </c>
      <c r="E3" s="39"/>
      <c r="F3" s="37">
        <v>49.51</v>
      </c>
      <c r="G3" s="37">
        <v>14.83</v>
      </c>
      <c r="H3" s="20">
        <v>49.667000000000002</v>
      </c>
      <c r="I3" s="20">
        <v>14.032999999999999</v>
      </c>
      <c r="J3" s="6" t="s">
        <v>10</v>
      </c>
      <c r="K3" s="6">
        <v>5.8</v>
      </c>
      <c r="L3" s="6">
        <v>20.89</v>
      </c>
      <c r="M3" s="6">
        <v>0.01</v>
      </c>
      <c r="N3" s="6" t="s">
        <v>47</v>
      </c>
      <c r="O3" s="6">
        <v>1300</v>
      </c>
      <c r="P3" s="6"/>
      <c r="Q3" s="6">
        <f>2*(3*O3/(4*3.1415*$K$174))^0.33333</f>
        <v>0.88353120770314897</v>
      </c>
      <c r="R3" s="6">
        <v>-19</v>
      </c>
      <c r="S3" s="6"/>
      <c r="T3" s="6">
        <v>46</v>
      </c>
      <c r="U3" s="6"/>
      <c r="V3" s="6">
        <v>98</v>
      </c>
      <c r="W3" s="6"/>
      <c r="X3" s="6">
        <v>13</v>
      </c>
      <c r="Y3" s="6"/>
      <c r="Z3" s="22">
        <f>(V3-T3)/COS(AA3*3.1415926/180)</f>
        <v>76.246516509140505</v>
      </c>
      <c r="AA3" s="6">
        <v>47</v>
      </c>
      <c r="AB3" s="6"/>
      <c r="AC3" s="147"/>
      <c r="AD3" s="144">
        <f t="shared" ref="AD3:AD23" si="0">0.5*O3*(L3*1000)^2/(4185000000000)</f>
        <v>6.7778940262843493E-2</v>
      </c>
      <c r="AE3" s="150"/>
      <c r="AF3" s="151">
        <v>-4.4000000000000004</v>
      </c>
      <c r="AG3" s="151"/>
      <c r="AH3" s="152" t="s">
        <v>249</v>
      </c>
      <c r="AI3" s="153">
        <v>6.8</v>
      </c>
      <c r="AJ3" s="152"/>
      <c r="AK3" s="152"/>
      <c r="AL3" s="152"/>
      <c r="AM3" s="154">
        <f>Z3/AI3</f>
        <v>11.212723016050075</v>
      </c>
      <c r="AN3" s="152" t="s">
        <v>82</v>
      </c>
      <c r="AO3" s="152" t="s">
        <v>131</v>
      </c>
      <c r="AP3" s="68" t="s">
        <v>390</v>
      </c>
      <c r="AQ3" s="68"/>
      <c r="AR3" s="68"/>
      <c r="AS3" s="68"/>
      <c r="AT3" s="68" t="s">
        <v>98</v>
      </c>
      <c r="AU3" s="68" t="s">
        <v>385</v>
      </c>
      <c r="AV3" s="68" t="s">
        <v>99</v>
      </c>
      <c r="AW3" s="68" t="s">
        <v>307</v>
      </c>
      <c r="AX3" s="68"/>
      <c r="AY3" s="68"/>
      <c r="AZ3" s="6">
        <v>2.4</v>
      </c>
      <c r="BA3" s="6"/>
      <c r="BB3" s="6">
        <v>0.67</v>
      </c>
      <c r="BC3" s="6"/>
      <c r="BD3" s="6">
        <v>10.5</v>
      </c>
      <c r="BE3" s="6"/>
      <c r="BF3" s="6">
        <f>AZ3*(1-BB3)</f>
        <v>0.79199999999999993</v>
      </c>
      <c r="BG3" s="6">
        <f>AZ3*(1+BB3)</f>
        <v>4.008</v>
      </c>
      <c r="BH3" s="6">
        <v>241.8</v>
      </c>
      <c r="BI3" s="6"/>
      <c r="BJ3" s="6">
        <v>17.8</v>
      </c>
      <c r="BK3" s="6"/>
      <c r="BL3" s="6">
        <f t="shared" ref="BL3:BL28" si="1">(5.2/AZ3+2*(AZ3/5.2*(1-BB3^2))^0.5*COS(BD3*3.1415926/180))</f>
        <v>3.1584464999938566</v>
      </c>
      <c r="BM3" s="6"/>
      <c r="BN3" s="14" t="s">
        <v>48</v>
      </c>
      <c r="BO3" s="222">
        <v>12</v>
      </c>
      <c r="BP3" s="33"/>
      <c r="BQ3" s="33">
        <v>59</v>
      </c>
      <c r="BR3" s="33">
        <v>3570</v>
      </c>
      <c r="BS3" s="33" t="s">
        <v>294</v>
      </c>
      <c r="BU3" s="211">
        <v>0.16225000000000001</v>
      </c>
      <c r="BV3" s="211">
        <v>4.0189999999999997E-2</v>
      </c>
      <c r="BW3" s="211">
        <v>1.39E-3</v>
      </c>
      <c r="BX3" s="211">
        <v>2.572E-2</v>
      </c>
      <c r="BY3" s="211">
        <v>4.6000000000000001E-4</v>
      </c>
      <c r="BZ3" s="211">
        <v>1.8E-3</v>
      </c>
      <c r="CA3" s="211">
        <v>7.5900000000000004E-3</v>
      </c>
      <c r="CB3" s="211">
        <v>2.81E-3</v>
      </c>
      <c r="CC3" s="211">
        <v>0.79866000000000004</v>
      </c>
      <c r="CD3" s="211">
        <v>5.7950000000000002E-2</v>
      </c>
      <c r="CE3" s="211">
        <v>1.0000000000000001E-5</v>
      </c>
      <c r="CF3" s="211">
        <v>3.3400000000000001E-3</v>
      </c>
      <c r="CG3" s="211">
        <v>2.963E-2</v>
      </c>
      <c r="CH3" s="211">
        <v>1.221E-2</v>
      </c>
      <c r="CI3" s="212">
        <f>BU3+CA3</f>
        <v>0.16984000000000002</v>
      </c>
    </row>
    <row r="4" spans="1:87" ht="16.5" thickBot="1">
      <c r="A4" s="67" t="s">
        <v>11</v>
      </c>
      <c r="B4" s="67">
        <f t="shared" ref="B4:B20" si="2">B3+1</f>
        <v>2</v>
      </c>
      <c r="C4" s="5">
        <v>25572</v>
      </c>
      <c r="D4" s="38">
        <v>9.3055555555555558E-2</v>
      </c>
      <c r="E4" s="39"/>
      <c r="F4" s="37"/>
      <c r="G4" s="37"/>
      <c r="H4" s="20">
        <v>36.005000000000003</v>
      </c>
      <c r="I4" s="20">
        <v>-95.09</v>
      </c>
      <c r="J4" s="6" t="s">
        <v>10</v>
      </c>
      <c r="K4" s="6">
        <v>17</v>
      </c>
      <c r="L4" s="6">
        <v>14.2</v>
      </c>
      <c r="M4" s="6">
        <v>1.5E-3</v>
      </c>
      <c r="N4" s="6">
        <v>3.5</v>
      </c>
      <c r="O4" s="6">
        <v>163</v>
      </c>
      <c r="P4" s="6"/>
      <c r="Q4" s="6">
        <f>2*(3*O4/(4*3.1415*$K$174))^0.33333</f>
        <v>0.44222129356585554</v>
      </c>
      <c r="R4" s="6">
        <v>-12.4</v>
      </c>
      <c r="S4" s="6"/>
      <c r="T4" s="6">
        <v>28</v>
      </c>
      <c r="U4" s="6"/>
      <c r="V4" s="6">
        <v>86</v>
      </c>
      <c r="W4" s="6"/>
      <c r="X4" s="6">
        <v>19</v>
      </c>
      <c r="Y4" s="6"/>
      <c r="Z4" s="22">
        <f t="shared" ref="Z4:Z35" si="3">(V4-T4)/COS(AA4*3.1415926/180)</f>
        <v>94.207614371236559</v>
      </c>
      <c r="AA4" s="6">
        <v>52</v>
      </c>
      <c r="AB4" s="6"/>
      <c r="AC4" s="147"/>
      <c r="AD4" s="144">
        <f t="shared" si="0"/>
        <v>3.9268004778972524E-3</v>
      </c>
      <c r="AE4" s="150"/>
      <c r="AF4" s="151">
        <v>-4.4000000000000004</v>
      </c>
      <c r="AG4" s="151"/>
      <c r="AH4" s="155" t="s">
        <v>249</v>
      </c>
      <c r="AI4" s="156">
        <v>9</v>
      </c>
      <c r="AJ4" s="155"/>
      <c r="AK4" s="155"/>
      <c r="AL4" s="155"/>
      <c r="AM4" s="154">
        <f t="shared" ref="AM4:AM34" si="4">Z4/AI4</f>
        <v>10.467512707915173</v>
      </c>
      <c r="AN4" s="155" t="s">
        <v>82</v>
      </c>
      <c r="AO4" s="155" t="s">
        <v>131</v>
      </c>
      <c r="AP4" s="7"/>
      <c r="AQ4" s="7"/>
      <c r="AR4" s="7"/>
      <c r="AS4" s="7"/>
      <c r="AT4" s="7" t="s">
        <v>101</v>
      </c>
      <c r="AU4" s="7" t="s">
        <v>303</v>
      </c>
      <c r="AV4" s="7" t="s">
        <v>102</v>
      </c>
      <c r="AW4" s="7" t="s">
        <v>303</v>
      </c>
      <c r="AX4" s="7"/>
      <c r="AY4" s="7"/>
      <c r="AZ4" s="6">
        <v>1.66</v>
      </c>
      <c r="BA4" s="6"/>
      <c r="BB4" s="6">
        <v>0.42</v>
      </c>
      <c r="BC4" s="6"/>
      <c r="BD4" s="6">
        <v>12</v>
      </c>
      <c r="BE4" s="6"/>
      <c r="BF4" s="6">
        <f t="shared" ref="BF4:BF42" si="5">AZ4*(1-BB4)</f>
        <v>0.9628000000000001</v>
      </c>
      <c r="BG4" s="6">
        <f t="shared" ref="BG4:BG42" si="6">AZ4*(1+BB4)</f>
        <v>2.3571999999999997</v>
      </c>
      <c r="BH4" s="6">
        <v>161.1</v>
      </c>
      <c r="BI4" s="6"/>
      <c r="BJ4" s="6">
        <v>283.8</v>
      </c>
      <c r="BK4" s="6"/>
      <c r="BL4" s="6">
        <f t="shared" si="1"/>
        <v>4.1356317390345181</v>
      </c>
      <c r="BM4" s="6"/>
      <c r="BN4" s="14" t="s">
        <v>136</v>
      </c>
      <c r="BO4" s="222">
        <v>5.5</v>
      </c>
      <c r="BP4" s="33"/>
      <c r="BQ4" s="33">
        <v>58</v>
      </c>
      <c r="BR4" s="33"/>
      <c r="BS4" s="33"/>
      <c r="BU4" s="211">
        <v>0.63100000000000001</v>
      </c>
      <c r="BV4" s="211">
        <v>7.911E-2</v>
      </c>
      <c r="BW4" s="211">
        <v>1.8000000000000001E-4</v>
      </c>
      <c r="BX4" s="211">
        <v>3.49E-3</v>
      </c>
      <c r="BY4" s="211">
        <v>2.1000000000000001E-4</v>
      </c>
      <c r="BZ4" s="211">
        <v>8.0999999999999996E-4</v>
      </c>
      <c r="CA4" s="211">
        <v>0.28453000000000001</v>
      </c>
      <c r="CB4" s="211">
        <v>7.8039999999999998E-2</v>
      </c>
      <c r="CC4" s="211">
        <v>8.405E-2</v>
      </c>
      <c r="CD4" s="211">
        <v>1.8610000000000002E-2</v>
      </c>
      <c r="CE4" s="211">
        <v>2.0000000000000002E-5</v>
      </c>
      <c r="CF4" s="211">
        <v>6.0800000000000003E-3</v>
      </c>
      <c r="CG4" s="211">
        <v>0</v>
      </c>
      <c r="CH4" s="211">
        <v>0</v>
      </c>
      <c r="CI4" s="212">
        <f t="shared" ref="CI4:CI42" si="7">BU4+CA4</f>
        <v>0.91552999999999995</v>
      </c>
    </row>
    <row r="5" spans="1:87" ht="16.5" thickBot="1">
      <c r="A5" s="67" t="s">
        <v>12</v>
      </c>
      <c r="B5" s="67">
        <f t="shared" si="2"/>
        <v>3</v>
      </c>
      <c r="C5" s="5">
        <v>28162</v>
      </c>
      <c r="D5" s="38">
        <v>9.5578703703703694E-2</v>
      </c>
      <c r="E5" s="39"/>
      <c r="F5" s="37">
        <v>53.414999999999999</v>
      </c>
      <c r="G5" s="37">
        <v>-111.33750000000001</v>
      </c>
      <c r="H5" s="20">
        <v>54.414999999999999</v>
      </c>
      <c r="I5" s="20">
        <v>-111.33799999999999</v>
      </c>
      <c r="J5" s="6" t="s">
        <v>240</v>
      </c>
      <c r="K5" s="6">
        <v>4.58</v>
      </c>
      <c r="L5" s="6">
        <v>14.5</v>
      </c>
      <c r="M5" s="6">
        <v>0.1</v>
      </c>
      <c r="N5" s="6">
        <v>2.7</v>
      </c>
      <c r="O5" s="6">
        <v>30</v>
      </c>
      <c r="P5" s="6"/>
      <c r="Q5" s="6">
        <f>2*(3*O5/(4*3.1415*$K$174))^0.33333</f>
        <v>0.25154748773755486</v>
      </c>
      <c r="R5" s="6">
        <v>-12</v>
      </c>
      <c r="S5" s="6"/>
      <c r="T5" s="6">
        <v>36</v>
      </c>
      <c r="U5" s="6"/>
      <c r="V5" s="6" t="s">
        <v>51</v>
      </c>
      <c r="W5" s="6"/>
      <c r="X5" s="6">
        <v>20</v>
      </c>
      <c r="Y5" s="6"/>
      <c r="Z5" s="22"/>
      <c r="AA5" s="6">
        <v>22</v>
      </c>
      <c r="AB5" s="6"/>
      <c r="AC5" s="147"/>
      <c r="AD5" s="144">
        <f t="shared" si="0"/>
        <v>7.53584229390681E-4</v>
      </c>
      <c r="AE5" s="150"/>
      <c r="AF5" s="151">
        <v>-4.3</v>
      </c>
      <c r="AG5" s="151"/>
      <c r="AH5" s="155" t="s">
        <v>249</v>
      </c>
      <c r="AI5" s="156">
        <v>4.09</v>
      </c>
      <c r="AJ5" s="155"/>
      <c r="AK5" s="155"/>
      <c r="AL5" s="155"/>
      <c r="AM5" s="154"/>
      <c r="AN5" s="155" t="s">
        <v>82</v>
      </c>
      <c r="AO5" s="155" t="s">
        <v>131</v>
      </c>
      <c r="AP5" s="7"/>
      <c r="AQ5" s="7"/>
      <c r="AR5" s="7"/>
      <c r="AS5" s="7"/>
      <c r="AT5" s="7" t="s">
        <v>103</v>
      </c>
      <c r="AU5" s="68" t="s">
        <v>299</v>
      </c>
      <c r="AV5" s="7" t="s">
        <v>104</v>
      </c>
      <c r="AW5" s="68" t="s">
        <v>299</v>
      </c>
      <c r="AX5" s="68"/>
      <c r="AY5" s="68"/>
      <c r="AZ5" s="6">
        <v>1.87</v>
      </c>
      <c r="BA5" s="6"/>
      <c r="BB5" s="6">
        <v>0.47</v>
      </c>
      <c r="BC5" s="6"/>
      <c r="BD5" s="6">
        <v>12.2</v>
      </c>
      <c r="BE5" s="6"/>
      <c r="BF5" s="6">
        <f t="shared" si="5"/>
        <v>0.99110000000000009</v>
      </c>
      <c r="BG5" s="6">
        <f t="shared" si="6"/>
        <v>2.7488999999999999</v>
      </c>
      <c r="BH5" s="6">
        <v>177.9</v>
      </c>
      <c r="BI5" s="6"/>
      <c r="BJ5" s="6">
        <v>317.5</v>
      </c>
      <c r="BK5" s="6"/>
      <c r="BL5" s="6">
        <f t="shared" si="1"/>
        <v>3.8154741026084578</v>
      </c>
      <c r="BM5" s="6"/>
      <c r="BN5" s="14" t="s">
        <v>53</v>
      </c>
      <c r="BO5" s="222">
        <v>27</v>
      </c>
      <c r="BP5" s="33"/>
      <c r="BQ5" s="33">
        <v>34</v>
      </c>
      <c r="BR5" s="33"/>
      <c r="BS5" s="33"/>
      <c r="BU5" s="211">
        <v>0.59040000000000004</v>
      </c>
      <c r="BV5" s="211">
        <v>7.7170000000000002E-2</v>
      </c>
      <c r="BW5" s="211">
        <v>1.2E-4</v>
      </c>
      <c r="BX5" s="211">
        <v>2.2200000000000002E-3</v>
      </c>
      <c r="BY5" s="211">
        <v>2.7999999999999998E-4</v>
      </c>
      <c r="BZ5" s="211">
        <v>1.0499999999999999E-3</v>
      </c>
      <c r="CA5" s="211">
        <v>0.26998</v>
      </c>
      <c r="CB5" s="211">
        <v>7.3870000000000005E-2</v>
      </c>
      <c r="CC5" s="211">
        <v>0.13921</v>
      </c>
      <c r="CD5" s="211">
        <v>2.9000000000000001E-2</v>
      </c>
      <c r="CE5" s="211">
        <v>2.0000000000000002E-5</v>
      </c>
      <c r="CF5" s="211">
        <v>6.3899999999999998E-3</v>
      </c>
      <c r="CG5" s="211">
        <v>0</v>
      </c>
      <c r="CH5" s="211">
        <v>0</v>
      </c>
      <c r="CI5" s="212">
        <f t="shared" si="7"/>
        <v>0.86038000000000003</v>
      </c>
    </row>
    <row r="6" spans="1:87" ht="16.5" thickBot="1">
      <c r="A6" s="67" t="s">
        <v>32</v>
      </c>
      <c r="B6" s="67">
        <f t="shared" si="2"/>
        <v>4</v>
      </c>
      <c r="C6" s="5">
        <v>33365</v>
      </c>
      <c r="D6" s="38">
        <v>0.96103009259259264</v>
      </c>
      <c r="E6" s="39">
        <v>2</v>
      </c>
      <c r="F6" s="37">
        <v>49.662199999999999</v>
      </c>
      <c r="G6" s="37">
        <v>14.63519</v>
      </c>
      <c r="H6" s="20">
        <v>49.767000000000003</v>
      </c>
      <c r="I6" s="20">
        <v>14.632999999999999</v>
      </c>
      <c r="J6" s="6" t="s">
        <v>33</v>
      </c>
      <c r="K6" s="6">
        <v>1.0999999999999999E-2</v>
      </c>
      <c r="L6" s="6">
        <v>21.1</v>
      </c>
      <c r="M6" s="6">
        <v>0.01</v>
      </c>
      <c r="N6" s="6">
        <v>2</v>
      </c>
      <c r="O6" s="6">
        <v>4000</v>
      </c>
      <c r="P6" s="6"/>
      <c r="Q6" s="6">
        <f>2*(3*O6/(4*3.1415*$K$174))^0.33333</f>
        <v>1.2850671246717407</v>
      </c>
      <c r="R6" s="6">
        <v>-19.5</v>
      </c>
      <c r="S6" s="6"/>
      <c r="T6" s="6">
        <v>24.3</v>
      </c>
      <c r="U6" s="6"/>
      <c r="V6" s="6">
        <v>97.7</v>
      </c>
      <c r="W6" s="6"/>
      <c r="X6" s="6">
        <v>16.7</v>
      </c>
      <c r="Y6" s="6"/>
      <c r="Z6" s="22">
        <f t="shared" si="3"/>
        <v>74.420634196482027</v>
      </c>
      <c r="AA6" s="6">
        <v>9.5</v>
      </c>
      <c r="AB6" s="6"/>
      <c r="AC6" s="147"/>
      <c r="AD6" s="144">
        <f t="shared" si="0"/>
        <v>0.21276463560334527</v>
      </c>
      <c r="AE6" s="150"/>
      <c r="AF6" s="151">
        <v>-4.5999999999999996</v>
      </c>
      <c r="AG6" s="151"/>
      <c r="AH6" s="155" t="s">
        <v>249</v>
      </c>
      <c r="AI6" s="156">
        <v>5.2</v>
      </c>
      <c r="AJ6" s="155"/>
      <c r="AK6" s="155"/>
      <c r="AL6" s="155"/>
      <c r="AM6" s="154">
        <f t="shared" si="4"/>
        <v>14.31166042240039</v>
      </c>
      <c r="AN6" s="155" t="s">
        <v>82</v>
      </c>
      <c r="AO6" s="155" t="s">
        <v>131</v>
      </c>
      <c r="AP6" s="7"/>
      <c r="AQ6" s="7"/>
      <c r="AR6" s="7"/>
      <c r="AS6" s="7"/>
      <c r="AT6" s="7" t="s">
        <v>304</v>
      </c>
      <c r="AU6" s="7" t="s">
        <v>299</v>
      </c>
      <c r="AV6" s="7" t="s">
        <v>306</v>
      </c>
      <c r="AW6" s="7" t="s">
        <v>307</v>
      </c>
      <c r="AX6" s="7"/>
      <c r="AY6" s="7"/>
      <c r="AZ6" s="6">
        <v>2.4830000000000001</v>
      </c>
      <c r="BA6" s="6"/>
      <c r="BB6" s="6">
        <v>0.62739999999999996</v>
      </c>
      <c r="BC6" s="6"/>
      <c r="BD6" s="6">
        <v>23.981000000000002</v>
      </c>
      <c r="BE6" s="6"/>
      <c r="BF6" s="6">
        <f t="shared" si="5"/>
        <v>0.92516580000000015</v>
      </c>
      <c r="BG6" s="6">
        <f t="shared" si="6"/>
        <v>4.0408341999999999</v>
      </c>
      <c r="BH6" s="6">
        <v>218.37</v>
      </c>
      <c r="BI6" s="6"/>
      <c r="BJ6" s="6">
        <v>47</v>
      </c>
      <c r="BK6" s="6"/>
      <c r="BL6" s="6">
        <f t="shared" si="1"/>
        <v>3.0775260792998127</v>
      </c>
      <c r="BM6" s="6"/>
      <c r="BN6" s="14" t="s">
        <v>142</v>
      </c>
      <c r="BO6" s="222"/>
      <c r="BP6" s="33"/>
      <c r="BQ6" s="33"/>
      <c r="BR6" s="33"/>
      <c r="BS6" s="33"/>
      <c r="BU6" s="218">
        <v>9.7509999999999999E-2</v>
      </c>
      <c r="BV6" s="211">
        <v>2.6790000000000001E-2</v>
      </c>
      <c r="BW6" s="211">
        <v>1.49E-3</v>
      </c>
      <c r="BX6" s="211">
        <v>2.7640000000000001E-2</v>
      </c>
      <c r="BY6" s="211">
        <v>5.1000000000000004E-4</v>
      </c>
      <c r="BZ6" s="211">
        <v>1.98E-3</v>
      </c>
      <c r="CA6" s="211">
        <v>6.1399999999999996E-3</v>
      </c>
      <c r="CB6" s="211">
        <v>2.33E-3</v>
      </c>
      <c r="CC6" s="211">
        <v>0.86970999999999998</v>
      </c>
      <c r="CD6" s="211">
        <v>5.0119999999999998E-2</v>
      </c>
      <c r="CE6" s="211">
        <v>3.0000000000000001E-5</v>
      </c>
      <c r="CF6" s="211">
        <v>9.7900000000000001E-3</v>
      </c>
      <c r="CG6" s="211">
        <v>2.46E-2</v>
      </c>
      <c r="CH6" s="211">
        <v>1.0540000000000001E-2</v>
      </c>
      <c r="CI6" s="212">
        <f t="shared" si="7"/>
        <v>0.10364999999999999</v>
      </c>
    </row>
    <row r="7" spans="1:87" ht="16.5" thickBot="1">
      <c r="A7" s="67" t="s">
        <v>14</v>
      </c>
      <c r="B7" s="67">
        <f t="shared" si="2"/>
        <v>5</v>
      </c>
      <c r="C7" s="5">
        <v>33886</v>
      </c>
      <c r="D7" s="38">
        <v>0.9916666666666667</v>
      </c>
      <c r="E7" s="39"/>
      <c r="F7" s="37">
        <v>39.6633</v>
      </c>
      <c r="G7" s="37">
        <v>-78.206000000000003</v>
      </c>
      <c r="H7" s="20">
        <v>41.283000000000001</v>
      </c>
      <c r="I7" s="20">
        <v>-73.916700000000006</v>
      </c>
      <c r="J7" s="6" t="s">
        <v>15</v>
      </c>
      <c r="K7" s="6">
        <v>12.4</v>
      </c>
      <c r="L7" s="6">
        <v>14.72</v>
      </c>
      <c r="M7" s="6">
        <v>0.05</v>
      </c>
      <c r="N7" s="6">
        <v>5</v>
      </c>
      <c r="O7" s="6">
        <v>5000</v>
      </c>
      <c r="P7" s="6"/>
      <c r="Q7" s="6">
        <f>2*(3*O7/(4*3.1415*$K$174))^0.33333</f>
        <v>1.3842955665503507</v>
      </c>
      <c r="R7" s="6">
        <v>-16</v>
      </c>
      <c r="S7" s="6"/>
      <c r="T7" s="6"/>
      <c r="U7" s="6"/>
      <c r="V7" s="6" t="s">
        <v>54</v>
      </c>
      <c r="W7" s="6"/>
      <c r="X7" s="6" t="s">
        <v>55</v>
      </c>
      <c r="Y7" s="6"/>
      <c r="Z7" s="22"/>
      <c r="AA7" s="6">
        <v>87</v>
      </c>
      <c r="AB7" s="6"/>
      <c r="AC7" s="147"/>
      <c r="AD7" s="144">
        <f t="shared" si="0"/>
        <v>0.12943751493428912</v>
      </c>
      <c r="AE7" s="150"/>
      <c r="AF7" s="151"/>
      <c r="AG7" s="151"/>
      <c r="AH7" s="155" t="s">
        <v>57</v>
      </c>
      <c r="AI7" s="157" t="s">
        <v>56</v>
      </c>
      <c r="AJ7" s="155"/>
      <c r="AK7" s="155"/>
      <c r="AL7" s="155"/>
      <c r="AM7" s="154"/>
      <c r="AN7" s="155" t="s">
        <v>83</v>
      </c>
      <c r="AO7" s="155" t="s">
        <v>131</v>
      </c>
      <c r="AP7" s="7"/>
      <c r="AQ7" s="7"/>
      <c r="AR7" s="7"/>
      <c r="AS7" s="7"/>
      <c r="AT7" s="7" t="s">
        <v>105</v>
      </c>
      <c r="AU7" s="7" t="s">
        <v>317</v>
      </c>
      <c r="AV7" s="7" t="s">
        <v>106</v>
      </c>
      <c r="AW7" s="7" t="s">
        <v>311</v>
      </c>
      <c r="AX7" s="7"/>
      <c r="AY7" s="7"/>
      <c r="AZ7" s="6">
        <v>1.49</v>
      </c>
      <c r="BA7" s="6"/>
      <c r="BB7" s="6">
        <v>0.41</v>
      </c>
      <c r="BC7" s="6"/>
      <c r="BD7" s="6">
        <v>4.9000000000000004</v>
      </c>
      <c r="BE7" s="6"/>
      <c r="BF7" s="6">
        <f t="shared" si="5"/>
        <v>0.8791000000000001</v>
      </c>
      <c r="BG7" s="6">
        <f t="shared" si="6"/>
        <v>2.1008999999999998</v>
      </c>
      <c r="BH7" s="6">
        <v>307.60000000000002</v>
      </c>
      <c r="BI7" s="6"/>
      <c r="BJ7" s="6">
        <v>17</v>
      </c>
      <c r="BK7" s="6"/>
      <c r="BL7" s="6">
        <f t="shared" si="1"/>
        <v>4.4628299550190755</v>
      </c>
      <c r="BM7" s="6"/>
      <c r="BN7" s="14" t="s">
        <v>143</v>
      </c>
      <c r="BO7" s="222">
        <v>32</v>
      </c>
      <c r="BP7" s="33"/>
      <c r="BQ7" s="33">
        <v>57</v>
      </c>
      <c r="BR7" s="33">
        <v>3300</v>
      </c>
      <c r="BS7" s="33"/>
      <c r="BU7" s="211">
        <v>0.72609000000000001</v>
      </c>
      <c r="BV7" s="211">
        <v>6.0339999999999998E-2</v>
      </c>
      <c r="BW7" s="211">
        <v>4.0000000000000003E-5</v>
      </c>
      <c r="BX7" s="211">
        <v>7.3999999999999999E-4</v>
      </c>
      <c r="BY7" s="211">
        <v>0</v>
      </c>
      <c r="BZ7" s="211">
        <v>0</v>
      </c>
      <c r="CA7" s="211">
        <v>0.14729</v>
      </c>
      <c r="CB7" s="211">
        <v>4.8250000000000001E-2</v>
      </c>
      <c r="CC7" s="211">
        <v>0.12656999999999999</v>
      </c>
      <c r="CD7" s="211">
        <v>2.8000000000000001E-2</v>
      </c>
      <c r="CE7" s="211">
        <v>1.0000000000000001E-5</v>
      </c>
      <c r="CF7" s="211">
        <v>2.8900000000000002E-3</v>
      </c>
      <c r="CG7" s="211">
        <v>0</v>
      </c>
      <c r="CH7" s="211">
        <v>0</v>
      </c>
      <c r="CI7" s="212">
        <f t="shared" si="7"/>
        <v>0.87338000000000005</v>
      </c>
    </row>
    <row r="8" spans="1:87" ht="16.5" thickBot="1">
      <c r="A8" s="9" t="s">
        <v>16</v>
      </c>
      <c r="B8" s="9">
        <f t="shared" si="2"/>
        <v>6</v>
      </c>
      <c r="C8" s="5">
        <v>36543</v>
      </c>
      <c r="D8" s="38">
        <v>0.69701388888888882</v>
      </c>
      <c r="E8" s="39"/>
      <c r="F8" s="37"/>
      <c r="G8" s="37"/>
      <c r="H8" s="20">
        <v>59.704000000000001</v>
      </c>
      <c r="I8" s="20">
        <v>-134.20099999999999</v>
      </c>
      <c r="J8" s="6" t="s">
        <v>127</v>
      </c>
      <c r="K8" s="6" t="s">
        <v>17</v>
      </c>
      <c r="L8" s="6">
        <v>15.8</v>
      </c>
      <c r="M8" s="6">
        <v>0.6</v>
      </c>
      <c r="N8" s="6" t="s">
        <v>57</v>
      </c>
      <c r="O8" s="6">
        <v>60000</v>
      </c>
      <c r="P8" s="6"/>
      <c r="Q8" s="6">
        <f>2*(3*O8/(4*3.1415*$K$175))^0.33333</f>
        <v>3.8551590205318256</v>
      </c>
      <c r="R8" s="6">
        <v>-22</v>
      </c>
      <c r="S8" s="6"/>
      <c r="T8" s="6">
        <v>32</v>
      </c>
      <c r="U8" s="6"/>
      <c r="V8" s="6" t="s">
        <v>59</v>
      </c>
      <c r="W8" s="6"/>
      <c r="X8" s="6">
        <v>29</v>
      </c>
      <c r="Y8" s="6"/>
      <c r="Z8" s="22"/>
      <c r="AA8" s="6">
        <v>72</v>
      </c>
      <c r="AB8" s="6"/>
      <c r="AC8" s="147"/>
      <c r="AD8" s="144">
        <f t="shared" si="0"/>
        <v>1.7895340501792114</v>
      </c>
      <c r="AE8" s="150"/>
      <c r="AF8" s="151">
        <v>-5.4</v>
      </c>
      <c r="AG8" s="151"/>
      <c r="AH8" s="155" t="s">
        <v>251</v>
      </c>
      <c r="AI8" s="157" t="s">
        <v>58</v>
      </c>
      <c r="AJ8" s="155"/>
      <c r="AK8" s="155"/>
      <c r="AL8" s="155"/>
      <c r="AM8" s="154"/>
      <c r="AN8" s="155" t="s">
        <v>84</v>
      </c>
      <c r="AO8" s="155" t="s">
        <v>133</v>
      </c>
      <c r="AP8" s="7"/>
      <c r="AQ8" s="7"/>
      <c r="AR8" s="7"/>
      <c r="AS8" s="7"/>
      <c r="AT8" s="7" t="s">
        <v>108</v>
      </c>
      <c r="AU8" s="7" t="s">
        <v>313</v>
      </c>
      <c r="AV8" s="7" t="s">
        <v>107</v>
      </c>
      <c r="AW8" s="7" t="s">
        <v>315</v>
      </c>
      <c r="AX8" s="7"/>
      <c r="AY8" s="7"/>
      <c r="AZ8" s="6">
        <v>1.98</v>
      </c>
      <c r="BA8" s="6"/>
      <c r="BB8" s="6">
        <v>0.55000000000000004</v>
      </c>
      <c r="BC8" s="6"/>
      <c r="BD8" s="6">
        <v>2</v>
      </c>
      <c r="BE8" s="6"/>
      <c r="BF8" s="6">
        <f t="shared" si="5"/>
        <v>0.8909999999999999</v>
      </c>
      <c r="BG8" s="6">
        <f t="shared" si="6"/>
        <v>3.069</v>
      </c>
      <c r="BH8" s="6">
        <v>224.4</v>
      </c>
      <c r="BI8" s="6"/>
      <c r="BJ8" s="6">
        <v>297.89999999999998</v>
      </c>
      <c r="BK8" s="6"/>
      <c r="BL8" s="6">
        <f t="shared" si="1"/>
        <v>3.6563365279665576</v>
      </c>
      <c r="BM8" s="6"/>
      <c r="BN8" s="14" t="s">
        <v>145</v>
      </c>
      <c r="BO8" s="222">
        <v>7.8</v>
      </c>
      <c r="BP8" s="33"/>
      <c r="BQ8" s="33" t="s">
        <v>288</v>
      </c>
      <c r="BR8" s="33">
        <v>1670</v>
      </c>
      <c r="BS8" s="33"/>
      <c r="BU8" s="211">
        <v>0.82199</v>
      </c>
      <c r="BV8" s="211">
        <v>4.2200000000000001E-2</v>
      </c>
      <c r="BW8" s="211">
        <v>2.0000000000000002E-5</v>
      </c>
      <c r="BX8" s="211">
        <v>4.0000000000000002E-4</v>
      </c>
      <c r="BY8" s="211">
        <v>8.0000000000000007E-5</v>
      </c>
      <c r="BZ8" s="211">
        <v>3.1E-4</v>
      </c>
      <c r="CA8" s="211">
        <v>6.5240000000000006E-2</v>
      </c>
      <c r="CB8" s="211">
        <v>2.4170000000000001E-2</v>
      </c>
      <c r="CC8" s="211">
        <v>0.11264</v>
      </c>
      <c r="CD8" s="211">
        <v>2.6880000000000001E-2</v>
      </c>
      <c r="CE8" s="211">
        <v>0</v>
      </c>
      <c r="CF8" s="211">
        <v>6.3000000000000003E-4</v>
      </c>
      <c r="CG8" s="211">
        <v>2.0000000000000002E-5</v>
      </c>
      <c r="CH8" s="211">
        <v>1.0000000000000001E-5</v>
      </c>
      <c r="CI8" s="212">
        <f t="shared" si="7"/>
        <v>0.88722999999999996</v>
      </c>
    </row>
    <row r="9" spans="1:87" ht="16.5" thickBot="1">
      <c r="A9" s="67" t="s">
        <v>18</v>
      </c>
      <c r="B9" s="67">
        <f t="shared" si="2"/>
        <v>7</v>
      </c>
      <c r="C9" s="5">
        <v>36652</v>
      </c>
      <c r="D9" s="38">
        <v>0.49435185185185188</v>
      </c>
      <c r="E9" s="39"/>
      <c r="F9" s="37"/>
      <c r="G9" s="37"/>
      <c r="H9" s="20">
        <v>49.6</v>
      </c>
      <c r="I9" s="20">
        <v>18.533000000000001</v>
      </c>
      <c r="J9" s="6" t="s">
        <v>10</v>
      </c>
      <c r="K9" s="6">
        <v>1.4</v>
      </c>
      <c r="L9" s="6">
        <v>22.5</v>
      </c>
      <c r="M9" s="6">
        <v>0.2</v>
      </c>
      <c r="N9" s="6">
        <v>4</v>
      </c>
      <c r="O9" s="6">
        <v>1500</v>
      </c>
      <c r="P9" s="6"/>
      <c r="Q9" s="6">
        <f>2*(3*O9/(4*3.1415*$K$174))^0.33333</f>
        <v>0.92669678395309252</v>
      </c>
      <c r="R9" s="6">
        <v>-20</v>
      </c>
      <c r="S9" s="6"/>
      <c r="T9" s="6">
        <v>33</v>
      </c>
      <c r="U9" s="6"/>
      <c r="V9" s="6">
        <v>80</v>
      </c>
      <c r="W9" s="6"/>
      <c r="X9" s="6">
        <v>21</v>
      </c>
      <c r="Y9" s="6"/>
      <c r="Z9" s="22">
        <f t="shared" si="3"/>
        <v>137.41879893923854</v>
      </c>
      <c r="AA9" s="6">
        <v>70</v>
      </c>
      <c r="AB9" s="6"/>
      <c r="AC9" s="147"/>
      <c r="AD9" s="144">
        <f t="shared" si="0"/>
        <v>9.0725806451612906E-2</v>
      </c>
      <c r="AE9" s="150"/>
      <c r="AF9" s="151">
        <v>-4.0999999999999996</v>
      </c>
      <c r="AG9" s="151"/>
      <c r="AH9" s="155" t="s">
        <v>249</v>
      </c>
      <c r="AI9" s="156">
        <v>5</v>
      </c>
      <c r="AJ9" s="155"/>
      <c r="AK9" s="155"/>
      <c r="AL9" s="155"/>
      <c r="AM9" s="154">
        <f t="shared" si="4"/>
        <v>27.48375978784771</v>
      </c>
      <c r="AN9" s="155" t="s">
        <v>85</v>
      </c>
      <c r="AO9" s="155" t="s">
        <v>134</v>
      </c>
      <c r="AP9" s="7"/>
      <c r="AQ9" s="7"/>
      <c r="AR9" s="7"/>
      <c r="AS9" s="7"/>
      <c r="AT9" s="7" t="s">
        <v>109</v>
      </c>
      <c r="AU9" s="7" t="s">
        <v>312</v>
      </c>
      <c r="AV9" s="7" t="s">
        <v>110</v>
      </c>
      <c r="AW9" s="7" t="s">
        <v>311</v>
      </c>
      <c r="AX9" s="7"/>
      <c r="AY9" s="7"/>
      <c r="AZ9" s="6">
        <v>1.85</v>
      </c>
      <c r="BA9" s="6"/>
      <c r="BB9" s="6">
        <v>0.47</v>
      </c>
      <c r="BC9" s="6"/>
      <c r="BD9" s="6">
        <v>32.200000000000003</v>
      </c>
      <c r="BE9" s="6"/>
      <c r="BF9" s="6">
        <f t="shared" si="5"/>
        <v>0.98050000000000015</v>
      </c>
      <c r="BG9" s="6">
        <f t="shared" si="6"/>
        <v>2.7195</v>
      </c>
      <c r="BH9" s="6">
        <v>203.5</v>
      </c>
      <c r="BI9" s="6"/>
      <c r="BJ9" s="6">
        <v>46.3</v>
      </c>
      <c r="BK9" s="6"/>
      <c r="BL9" s="6">
        <f t="shared" si="1"/>
        <v>3.7018161500142948</v>
      </c>
      <c r="BM9" s="6"/>
      <c r="BN9" s="14" t="s">
        <v>146</v>
      </c>
      <c r="BO9" s="222">
        <v>6.7</v>
      </c>
      <c r="BP9" s="33">
        <v>1</v>
      </c>
      <c r="BQ9" s="33" t="s">
        <v>165</v>
      </c>
      <c r="BR9" s="33">
        <v>3590</v>
      </c>
      <c r="BS9" s="33">
        <v>7</v>
      </c>
      <c r="BU9" s="211">
        <v>0.35902000000000001</v>
      </c>
      <c r="BV9" s="211">
        <v>8.1670000000000006E-2</v>
      </c>
      <c r="BW9" s="211">
        <v>1.4999999999999999E-4</v>
      </c>
      <c r="BX9" s="211">
        <v>3.0599999999999998E-3</v>
      </c>
      <c r="BY9" s="211">
        <v>1.7000000000000001E-4</v>
      </c>
      <c r="BZ9" s="211">
        <v>6.6E-4</v>
      </c>
      <c r="CA9" s="211">
        <v>0.53741000000000005</v>
      </c>
      <c r="CB9" s="211">
        <v>0.10269</v>
      </c>
      <c r="CC9" s="211">
        <v>0.10304000000000001</v>
      </c>
      <c r="CD9" s="211">
        <v>2.3959999999999999E-2</v>
      </c>
      <c r="CE9" s="211">
        <v>2.0000000000000001E-4</v>
      </c>
      <c r="CF9" s="211">
        <v>4.929E-2</v>
      </c>
      <c r="CG9" s="211">
        <v>0</v>
      </c>
      <c r="CH9" s="211">
        <v>0</v>
      </c>
      <c r="CI9" s="212">
        <f t="shared" si="7"/>
        <v>0.89643000000000006</v>
      </c>
    </row>
    <row r="10" spans="1:87" ht="16.5" thickBot="1">
      <c r="A10" s="67" t="s">
        <v>19</v>
      </c>
      <c r="B10" s="67">
        <f t="shared" si="2"/>
        <v>8</v>
      </c>
      <c r="C10" s="5">
        <v>37352</v>
      </c>
      <c r="D10" s="38">
        <v>0.84742708333333328</v>
      </c>
      <c r="E10" s="39"/>
      <c r="F10" s="37">
        <v>47.303899999999999</v>
      </c>
      <c r="G10" s="37">
        <v>11.5524</v>
      </c>
      <c r="H10" s="20">
        <v>47.524999999999999</v>
      </c>
      <c r="I10" s="20">
        <v>10.808</v>
      </c>
      <c r="J10" s="6" t="s">
        <v>20</v>
      </c>
      <c r="K10" s="6">
        <v>6.19</v>
      </c>
      <c r="L10" s="6">
        <v>20.95</v>
      </c>
      <c r="M10" s="6">
        <v>0.04</v>
      </c>
      <c r="N10" s="6">
        <v>2.4</v>
      </c>
      <c r="O10" s="6">
        <v>300</v>
      </c>
      <c r="P10" s="6"/>
      <c r="Q10" s="6">
        <f>2*(3*O10/(4*3.1415*$K$174))^0.33333</f>
        <v>0.54193847422468833</v>
      </c>
      <c r="R10" s="6">
        <v>-17.2</v>
      </c>
      <c r="S10" s="6"/>
      <c r="T10" s="6">
        <v>21</v>
      </c>
      <c r="U10" s="6"/>
      <c r="V10" s="6">
        <v>85</v>
      </c>
      <c r="W10" s="6"/>
      <c r="X10" s="6">
        <v>16</v>
      </c>
      <c r="Y10" s="6"/>
      <c r="Z10" s="22">
        <f t="shared" si="3"/>
        <v>84.800830674501952</v>
      </c>
      <c r="AA10" s="6">
        <v>41</v>
      </c>
      <c r="AB10" s="6"/>
      <c r="AC10" s="147"/>
      <c r="AD10" s="144">
        <f t="shared" si="0"/>
        <v>1.5731272401433693E-2</v>
      </c>
      <c r="AE10" s="150"/>
      <c r="AF10" s="151">
        <v>-4.5999999999999996</v>
      </c>
      <c r="AG10" s="151"/>
      <c r="AH10" s="155" t="s">
        <v>249</v>
      </c>
      <c r="AI10" s="156">
        <v>5.3</v>
      </c>
      <c r="AJ10" s="155"/>
      <c r="AK10" s="155"/>
      <c r="AL10" s="155"/>
      <c r="AM10" s="154">
        <f t="shared" si="4"/>
        <v>16.000156731038103</v>
      </c>
      <c r="AN10" s="155" t="s">
        <v>135</v>
      </c>
      <c r="AO10" s="155" t="s">
        <v>131</v>
      </c>
      <c r="AP10" s="7"/>
      <c r="AQ10" s="7"/>
      <c r="AR10" s="7"/>
      <c r="AS10" s="7"/>
      <c r="AT10" s="7" t="s">
        <v>111</v>
      </c>
      <c r="AU10" s="7" t="s">
        <v>316</v>
      </c>
      <c r="AV10" s="7" t="s">
        <v>112</v>
      </c>
      <c r="AW10" s="7" t="s">
        <v>317</v>
      </c>
      <c r="AX10" s="7"/>
      <c r="AY10" s="7"/>
      <c r="AZ10" s="6">
        <v>2.4</v>
      </c>
      <c r="BA10" s="6"/>
      <c r="BB10" s="6">
        <v>0.67</v>
      </c>
      <c r="BC10" s="6"/>
      <c r="BD10" s="6">
        <v>11.4</v>
      </c>
      <c r="BE10" s="6"/>
      <c r="BF10" s="6">
        <f t="shared" si="5"/>
        <v>0.79199999999999993</v>
      </c>
      <c r="BG10" s="6">
        <f t="shared" si="6"/>
        <v>4.008</v>
      </c>
      <c r="BH10" s="6">
        <v>241.2</v>
      </c>
      <c r="BI10" s="6"/>
      <c r="BJ10" s="6">
        <v>16.8</v>
      </c>
      <c r="BK10" s="6"/>
      <c r="BL10" s="6">
        <f t="shared" si="1"/>
        <v>3.1554368978700116</v>
      </c>
      <c r="BM10" s="6"/>
      <c r="BN10" s="14" t="s">
        <v>148</v>
      </c>
      <c r="BO10" s="222">
        <v>47</v>
      </c>
      <c r="BP10" s="33"/>
      <c r="BQ10" s="33">
        <v>56</v>
      </c>
      <c r="BR10" s="33">
        <v>3500</v>
      </c>
      <c r="BS10" s="33"/>
      <c r="BU10" s="211">
        <v>0.16225000000000001</v>
      </c>
      <c r="BV10" s="211">
        <v>4.0189999999999997E-2</v>
      </c>
      <c r="BW10" s="211">
        <v>1.39E-3</v>
      </c>
      <c r="BX10" s="211">
        <v>2.572E-2</v>
      </c>
      <c r="BY10" s="211">
        <v>4.6000000000000001E-4</v>
      </c>
      <c r="BZ10" s="211">
        <v>1.8E-3</v>
      </c>
      <c r="CA10" s="211">
        <v>7.5900000000000004E-3</v>
      </c>
      <c r="CB10" s="211">
        <v>2.81E-3</v>
      </c>
      <c r="CC10" s="211">
        <v>0.79866000000000004</v>
      </c>
      <c r="CD10" s="211">
        <v>5.7950000000000002E-2</v>
      </c>
      <c r="CE10" s="211">
        <v>1.0000000000000001E-5</v>
      </c>
      <c r="CF10" s="211">
        <v>3.3400000000000001E-3</v>
      </c>
      <c r="CG10" s="211">
        <v>2.963E-2</v>
      </c>
      <c r="CH10" s="211">
        <v>1.221E-2</v>
      </c>
      <c r="CI10" s="212">
        <f t="shared" si="7"/>
        <v>0.16984000000000002</v>
      </c>
    </row>
    <row r="11" spans="1:87" ht="16.5" thickBot="1">
      <c r="A11" s="67" t="s">
        <v>21</v>
      </c>
      <c r="B11" s="67">
        <f t="shared" si="2"/>
        <v>9</v>
      </c>
      <c r="C11" s="5">
        <v>37707</v>
      </c>
      <c r="D11" s="38">
        <v>0.24336111111111111</v>
      </c>
      <c r="E11" s="39"/>
      <c r="F11" s="37">
        <v>41.13</v>
      </c>
      <c r="G11" s="37">
        <v>-87.9</v>
      </c>
      <c r="H11" s="20">
        <v>41.5</v>
      </c>
      <c r="I11" s="20">
        <v>-87.679000000000002</v>
      </c>
      <c r="J11" s="6" t="s">
        <v>13</v>
      </c>
      <c r="K11" s="6">
        <v>18</v>
      </c>
      <c r="L11" s="6">
        <v>19.5</v>
      </c>
      <c r="M11" s="6">
        <v>0.3</v>
      </c>
      <c r="N11" s="6" t="s">
        <v>57</v>
      </c>
      <c r="O11" s="6">
        <v>7000</v>
      </c>
      <c r="P11" s="6"/>
      <c r="Q11" s="6">
        <f>2*(3*O11/(4*3.1415*$K$174))^0.33333</f>
        <v>1.5485944060077943</v>
      </c>
      <c r="R11" s="6">
        <v>-21.7</v>
      </c>
      <c r="S11" s="6"/>
      <c r="T11" s="6">
        <v>29</v>
      </c>
      <c r="U11" s="6"/>
      <c r="V11" s="6">
        <v>82</v>
      </c>
      <c r="W11" s="6"/>
      <c r="X11" s="6" t="s">
        <v>69</v>
      </c>
      <c r="Y11" s="6"/>
      <c r="Z11" s="22">
        <f t="shared" si="3"/>
        <v>60.597765307273839</v>
      </c>
      <c r="AA11" s="6">
        <v>29</v>
      </c>
      <c r="AB11" s="6"/>
      <c r="AC11" s="147"/>
      <c r="AD11" s="144">
        <f t="shared" si="0"/>
        <v>0.31801075268817203</v>
      </c>
      <c r="AE11" s="150"/>
      <c r="AF11" s="151">
        <v>-4.5999999999999996</v>
      </c>
      <c r="AG11" s="151"/>
      <c r="AH11" s="155" t="s">
        <v>298</v>
      </c>
      <c r="AI11" s="156">
        <v>5</v>
      </c>
      <c r="AJ11" s="155"/>
      <c r="AK11" s="155"/>
      <c r="AL11" s="155"/>
      <c r="AM11" s="154">
        <f t="shared" si="4"/>
        <v>12.119553061454768</v>
      </c>
      <c r="AN11" s="155" t="s">
        <v>84</v>
      </c>
      <c r="AO11" s="155" t="s">
        <v>131</v>
      </c>
      <c r="AP11" s="7"/>
      <c r="AQ11" s="7"/>
      <c r="AR11" s="7"/>
      <c r="AS11" s="7"/>
      <c r="AT11" s="7" t="s">
        <v>113</v>
      </c>
      <c r="AU11" s="7" t="s">
        <v>318</v>
      </c>
      <c r="AV11" s="7" t="s">
        <v>114</v>
      </c>
      <c r="AW11" s="7" t="s">
        <v>309</v>
      </c>
      <c r="AX11" s="7"/>
      <c r="AY11" s="7"/>
      <c r="AZ11" s="6">
        <v>2.5299999999999998</v>
      </c>
      <c r="BA11" s="6"/>
      <c r="BB11" s="6">
        <v>0.68</v>
      </c>
      <c r="BC11" s="6"/>
      <c r="BD11" s="6">
        <v>3.2</v>
      </c>
      <c r="BE11" s="6"/>
      <c r="BF11" s="6">
        <f t="shared" si="5"/>
        <v>0.80959999999999976</v>
      </c>
      <c r="BG11" s="6">
        <f t="shared" si="6"/>
        <v>4.2504</v>
      </c>
      <c r="BH11" s="6">
        <v>237.5</v>
      </c>
      <c r="BI11" s="6"/>
      <c r="BJ11" s="6">
        <v>6.1</v>
      </c>
      <c r="BK11" s="6"/>
      <c r="BL11" s="6">
        <f t="shared" si="1"/>
        <v>3.0766058363983957</v>
      </c>
      <c r="BM11" s="6"/>
      <c r="BN11" s="14" t="s">
        <v>296</v>
      </c>
      <c r="BO11" s="222">
        <v>14</v>
      </c>
      <c r="BP11" s="33">
        <v>2</v>
      </c>
      <c r="BQ11" s="33">
        <v>55</v>
      </c>
      <c r="BR11" s="33"/>
      <c r="BS11" s="33"/>
      <c r="BU11" s="211">
        <v>0.19786000000000001</v>
      </c>
      <c r="BV11" s="211">
        <v>3.773E-2</v>
      </c>
      <c r="BW11" s="211">
        <v>1E-3</v>
      </c>
      <c r="BX11" s="211">
        <v>1.8499999999999999E-2</v>
      </c>
      <c r="BY11" s="211">
        <v>7.2999999999999996E-4</v>
      </c>
      <c r="BZ11" s="211">
        <v>2.8E-3</v>
      </c>
      <c r="CA11" s="211">
        <v>1.039E-2</v>
      </c>
      <c r="CB11" s="211">
        <v>3.8600000000000001E-3</v>
      </c>
      <c r="CC11" s="211">
        <v>0.52397000000000005</v>
      </c>
      <c r="CD11" s="211">
        <v>8.4739999999999996E-2</v>
      </c>
      <c r="CE11" s="211">
        <v>0</v>
      </c>
      <c r="CF11" s="211">
        <v>2.7E-4</v>
      </c>
      <c r="CG11" s="211">
        <v>0.26606000000000002</v>
      </c>
      <c r="CH11" s="211">
        <v>7.7600000000000002E-2</v>
      </c>
      <c r="CI11" s="212">
        <f t="shared" si="7"/>
        <v>0.20825000000000002</v>
      </c>
    </row>
    <row r="12" spans="1:87" ht="32.25" thickBot="1">
      <c r="A12" s="9" t="s">
        <v>22</v>
      </c>
      <c r="B12" s="9">
        <f t="shared" si="2"/>
        <v>10</v>
      </c>
      <c r="C12" s="5">
        <v>37990</v>
      </c>
      <c r="D12" s="38">
        <v>0.69913194444444438</v>
      </c>
      <c r="E12" s="39"/>
      <c r="F12" s="37">
        <v>42.771000000000001</v>
      </c>
      <c r="G12" s="37">
        <v>-4.7889999999999997</v>
      </c>
      <c r="H12" s="20">
        <v>42.8</v>
      </c>
      <c r="I12" s="20">
        <v>-4.6669999999999998</v>
      </c>
      <c r="J12" s="6" t="s">
        <v>617</v>
      </c>
      <c r="K12" s="6">
        <v>3.5</v>
      </c>
      <c r="L12" s="6">
        <v>16.899999999999999</v>
      </c>
      <c r="M12" s="6">
        <v>0.4</v>
      </c>
      <c r="N12" s="6">
        <v>8</v>
      </c>
      <c r="O12" s="6">
        <v>600</v>
      </c>
      <c r="P12" s="6"/>
      <c r="Q12" s="6">
        <f>2*(3*O12/(4*3.1415*$K$174))^0.33333</f>
        <v>0.68279811382314759</v>
      </c>
      <c r="R12" s="6">
        <v>-18</v>
      </c>
      <c r="S12" s="6"/>
      <c r="T12" s="6">
        <v>28.5</v>
      </c>
      <c r="U12" s="6"/>
      <c r="V12" s="6" t="s">
        <v>54</v>
      </c>
      <c r="W12" s="6"/>
      <c r="X12" s="6">
        <v>22.2</v>
      </c>
      <c r="Y12" s="6"/>
      <c r="Z12" s="22"/>
      <c r="AA12" s="6">
        <v>61</v>
      </c>
      <c r="AB12" s="6"/>
      <c r="AC12" s="147"/>
      <c r="AD12" s="144">
        <f t="shared" si="0"/>
        <v>2.047383512544803E-2</v>
      </c>
      <c r="AE12" s="150"/>
      <c r="AF12" s="151">
        <v>-4.4000000000000004</v>
      </c>
      <c r="AG12" s="151"/>
      <c r="AH12" s="155" t="s">
        <v>249</v>
      </c>
      <c r="AI12" s="157" t="s">
        <v>70</v>
      </c>
      <c r="AJ12" s="155"/>
      <c r="AK12" s="155"/>
      <c r="AL12" s="155"/>
      <c r="AM12" s="154"/>
      <c r="AN12" s="155" t="s">
        <v>86</v>
      </c>
      <c r="AO12" s="155" t="s">
        <v>134</v>
      </c>
      <c r="AP12" s="7"/>
      <c r="AQ12" s="7"/>
      <c r="AR12" s="7"/>
      <c r="AS12" s="7"/>
      <c r="AT12" s="7" t="s">
        <v>115</v>
      </c>
      <c r="AU12" s="7" t="s">
        <v>318</v>
      </c>
      <c r="AV12" s="7" t="s">
        <v>116</v>
      </c>
      <c r="AW12" s="7" t="s">
        <v>319</v>
      </c>
      <c r="AX12" s="7"/>
      <c r="AY12" s="7"/>
      <c r="AZ12" s="6">
        <v>2.2999999999999998</v>
      </c>
      <c r="BA12" s="6"/>
      <c r="BB12" s="6">
        <v>0.63</v>
      </c>
      <c r="BC12" s="6"/>
      <c r="BD12" s="6">
        <v>0</v>
      </c>
      <c r="BE12" s="6"/>
      <c r="BF12" s="6">
        <f t="shared" si="5"/>
        <v>0.85099999999999998</v>
      </c>
      <c r="BG12" s="6">
        <f t="shared" si="6"/>
        <v>3.7489999999999997</v>
      </c>
      <c r="BH12" s="231">
        <v>132.30000000000001</v>
      </c>
      <c r="BI12" s="6"/>
      <c r="BJ12" s="6">
        <v>283.7</v>
      </c>
      <c r="BK12" s="6"/>
      <c r="BL12" s="6">
        <f t="shared" si="1"/>
        <v>3.293837656168451</v>
      </c>
      <c r="BM12" s="6"/>
      <c r="BN12" s="14" t="s">
        <v>618</v>
      </c>
      <c r="BO12" s="222">
        <v>48</v>
      </c>
      <c r="BP12" s="33">
        <v>5</v>
      </c>
      <c r="BQ12" s="33" t="s">
        <v>202</v>
      </c>
      <c r="BR12" s="33">
        <v>3420</v>
      </c>
      <c r="BS12" s="33" t="s">
        <v>202</v>
      </c>
      <c r="BU12" s="211">
        <v>0.42453000000000002</v>
      </c>
      <c r="BV12" s="211">
        <v>6.4860000000000001E-2</v>
      </c>
      <c r="BW12" s="211">
        <v>4.4000000000000002E-4</v>
      </c>
      <c r="BX12" s="211">
        <v>8.3499999999999998E-3</v>
      </c>
      <c r="BY12" s="211">
        <v>5.1000000000000004E-4</v>
      </c>
      <c r="BZ12" s="211">
        <v>1.9400000000000001E-3</v>
      </c>
      <c r="CA12" s="211">
        <v>2.265E-2</v>
      </c>
      <c r="CB12" s="211">
        <v>7.9600000000000001E-3</v>
      </c>
      <c r="CC12" s="211">
        <v>0.50490000000000002</v>
      </c>
      <c r="CD12" s="211">
        <v>7.0989999999999998E-2</v>
      </c>
      <c r="CE12" s="211">
        <v>0</v>
      </c>
      <c r="CF12" s="211">
        <v>3.1E-4</v>
      </c>
      <c r="CG12" s="211">
        <v>4.6969999999999998E-2</v>
      </c>
      <c r="CH12" s="211">
        <v>1.6979999999999999E-2</v>
      </c>
      <c r="CI12" s="212">
        <f t="shared" si="7"/>
        <v>0.44718000000000002</v>
      </c>
    </row>
    <row r="13" spans="1:87" ht="16.5" thickBot="1">
      <c r="A13" s="67" t="s">
        <v>24</v>
      </c>
      <c r="B13" s="67">
        <f t="shared" si="2"/>
        <v>11</v>
      </c>
      <c r="C13" s="5">
        <v>39283</v>
      </c>
      <c r="D13" s="38">
        <v>0.80131064814814812</v>
      </c>
      <c r="E13" s="39">
        <v>0.05</v>
      </c>
      <c r="F13" s="37">
        <v>-31.4496</v>
      </c>
      <c r="G13" s="37">
        <v>129.82721000000001</v>
      </c>
      <c r="H13" s="20">
        <v>-31.35</v>
      </c>
      <c r="I13" s="20">
        <v>129.19</v>
      </c>
      <c r="J13" s="6" t="s">
        <v>25</v>
      </c>
      <c r="K13" s="6">
        <v>0.32400000000000001</v>
      </c>
      <c r="L13" s="6">
        <v>13.31</v>
      </c>
      <c r="M13" s="6">
        <v>0.02</v>
      </c>
      <c r="N13" s="6">
        <v>5.8</v>
      </c>
      <c r="O13" s="6">
        <v>22</v>
      </c>
      <c r="P13" s="6"/>
      <c r="Q13" s="6">
        <f>2*(3*O13/(4*3.1415*$K$174))^0.33333</f>
        <v>0.22684066336291314</v>
      </c>
      <c r="R13" s="6">
        <v>-9.6</v>
      </c>
      <c r="S13" s="6"/>
      <c r="T13" s="6">
        <v>36</v>
      </c>
      <c r="U13" s="6"/>
      <c r="V13" s="6">
        <v>63</v>
      </c>
      <c r="W13" s="6"/>
      <c r="X13" s="6">
        <v>29.6</v>
      </c>
      <c r="Y13" s="6"/>
      <c r="Z13" s="22">
        <f t="shared" si="3"/>
        <v>52.42330718053806</v>
      </c>
      <c r="AA13" s="6">
        <v>59</v>
      </c>
      <c r="AB13" s="6"/>
      <c r="AC13" s="147"/>
      <c r="AD13" s="144">
        <f t="shared" si="0"/>
        <v>4.6564327359617682E-4</v>
      </c>
      <c r="AE13" s="150"/>
      <c r="AF13" s="151">
        <v>-4.5</v>
      </c>
      <c r="AG13" s="151"/>
      <c r="AH13" s="155" t="s">
        <v>249</v>
      </c>
      <c r="AI13" s="156">
        <v>5.7</v>
      </c>
      <c r="AJ13" s="155"/>
      <c r="AK13" s="155"/>
      <c r="AL13" s="155"/>
      <c r="AM13" s="154">
        <f t="shared" si="4"/>
        <v>9.1970714351821155</v>
      </c>
      <c r="AN13" s="155" t="s">
        <v>82</v>
      </c>
      <c r="AO13" s="155" t="s">
        <v>131</v>
      </c>
      <c r="AP13" s="7"/>
      <c r="AQ13" s="7"/>
      <c r="AR13" s="7"/>
      <c r="AS13" s="7"/>
      <c r="AT13" s="7" t="s">
        <v>117</v>
      </c>
      <c r="AU13" s="7" t="s">
        <v>320</v>
      </c>
      <c r="AV13" s="7" t="s">
        <v>118</v>
      </c>
      <c r="AW13" s="7" t="s">
        <v>317</v>
      </c>
      <c r="AX13" s="7"/>
      <c r="AY13" s="7"/>
      <c r="AZ13" s="6">
        <v>0.85</v>
      </c>
      <c r="BA13" s="6"/>
      <c r="BB13" s="6">
        <v>0.25</v>
      </c>
      <c r="BC13" s="6"/>
      <c r="BD13" s="6">
        <v>9.1</v>
      </c>
      <c r="BE13" s="6"/>
      <c r="BF13" s="6">
        <f t="shared" si="5"/>
        <v>0.63749999999999996</v>
      </c>
      <c r="BG13" s="6">
        <f t="shared" si="6"/>
        <v>1.0625</v>
      </c>
      <c r="BH13" s="6">
        <v>209.9</v>
      </c>
      <c r="BI13" s="6"/>
      <c r="BJ13" s="6">
        <v>297.60000000000002</v>
      </c>
      <c r="BK13" s="6"/>
      <c r="BL13" s="6">
        <f t="shared" si="1"/>
        <v>6.8907238238215109</v>
      </c>
      <c r="BM13" s="6"/>
      <c r="BN13" s="14">
        <v>11</v>
      </c>
      <c r="BO13" s="222">
        <v>22</v>
      </c>
      <c r="BP13" s="33">
        <v>3</v>
      </c>
      <c r="BQ13" s="33">
        <v>53</v>
      </c>
      <c r="BR13" s="33">
        <v>2700</v>
      </c>
      <c r="BS13" s="33">
        <v>53</v>
      </c>
      <c r="BU13" s="211">
        <v>0.69050999999999996</v>
      </c>
      <c r="BV13" s="211">
        <v>7.0669999999999997E-2</v>
      </c>
      <c r="BW13" s="211">
        <v>0</v>
      </c>
      <c r="BX13" s="211">
        <v>0</v>
      </c>
      <c r="BY13" s="211">
        <v>1.3799999999999999E-3</v>
      </c>
      <c r="BZ13" s="211">
        <v>5.1799999999999997E-3</v>
      </c>
      <c r="CA13" s="211">
        <v>0.21693000000000001</v>
      </c>
      <c r="CB13" s="211">
        <v>6.5140000000000003E-2</v>
      </c>
      <c r="CC13" s="211">
        <v>9.1170000000000001E-2</v>
      </c>
      <c r="CD13" s="211">
        <v>2.0330000000000001E-2</v>
      </c>
      <c r="CE13" s="211">
        <v>1.0000000000000001E-5</v>
      </c>
      <c r="CF13" s="211">
        <v>1.9E-3</v>
      </c>
      <c r="CG13" s="211">
        <v>0</v>
      </c>
      <c r="CH13" s="211">
        <v>0</v>
      </c>
      <c r="CI13" s="212">
        <f t="shared" si="7"/>
        <v>0.90744000000000002</v>
      </c>
    </row>
    <row r="14" spans="1:87" ht="32.25" thickBot="1">
      <c r="A14" s="21" t="s">
        <v>256</v>
      </c>
      <c r="B14" s="9">
        <f t="shared" si="2"/>
        <v>12</v>
      </c>
      <c r="C14" s="5">
        <v>39728</v>
      </c>
      <c r="D14" s="38">
        <v>0.1150462962962963</v>
      </c>
      <c r="E14" s="39"/>
      <c r="F14" s="37">
        <v>20.857900000000001</v>
      </c>
      <c r="G14" s="37">
        <v>31.803799999999999</v>
      </c>
      <c r="H14" s="20">
        <v>20.745999999999999</v>
      </c>
      <c r="I14" s="20">
        <v>32.412999999999997</v>
      </c>
      <c r="J14" s="6" t="s">
        <v>26</v>
      </c>
      <c r="K14" s="6">
        <v>3.95</v>
      </c>
      <c r="L14" s="6">
        <v>12.42</v>
      </c>
      <c r="M14" s="6">
        <v>1E-3</v>
      </c>
      <c r="N14" s="6" t="s">
        <v>57</v>
      </c>
      <c r="O14" s="6">
        <v>50000</v>
      </c>
      <c r="P14" s="6"/>
      <c r="Q14" s="6">
        <f>2*(3*O14/(4*3.1415*$K$175))^0.33333</f>
        <v>3.6278457401670852</v>
      </c>
      <c r="R14" s="6">
        <v>-20</v>
      </c>
      <c r="S14" s="6"/>
      <c r="T14" s="6">
        <v>37</v>
      </c>
      <c r="U14" s="6"/>
      <c r="V14" s="6" t="s">
        <v>71</v>
      </c>
      <c r="W14" s="6"/>
      <c r="X14" s="6" t="s">
        <v>55</v>
      </c>
      <c r="Y14" s="6"/>
      <c r="Z14" s="22"/>
      <c r="AA14" s="6">
        <v>70</v>
      </c>
      <c r="AB14" s="6"/>
      <c r="AC14" s="147"/>
      <c r="AD14" s="144">
        <f t="shared" si="0"/>
        <v>0.92148387096774198</v>
      </c>
      <c r="AE14" s="150"/>
      <c r="AF14" s="151">
        <v>-5.7</v>
      </c>
      <c r="AG14" s="151"/>
      <c r="AH14" s="155" t="s">
        <v>251</v>
      </c>
      <c r="AI14" s="157" t="s">
        <v>72</v>
      </c>
      <c r="AJ14" s="155"/>
      <c r="AK14" s="155"/>
      <c r="AL14" s="155"/>
      <c r="AM14" s="154"/>
      <c r="AN14" s="155" t="s">
        <v>87</v>
      </c>
      <c r="AO14" s="155" t="s">
        <v>131</v>
      </c>
      <c r="AP14" s="7"/>
      <c r="AQ14" s="7"/>
      <c r="AR14" s="7"/>
      <c r="AS14" s="7"/>
      <c r="AT14" s="7" t="s">
        <v>119</v>
      </c>
      <c r="AU14" s="7" t="s">
        <v>321</v>
      </c>
      <c r="AV14" s="7" t="s">
        <v>120</v>
      </c>
      <c r="AW14" s="7" t="s">
        <v>321</v>
      </c>
      <c r="AX14" s="7"/>
      <c r="AY14" s="7"/>
      <c r="AZ14" s="6">
        <v>1.31</v>
      </c>
      <c r="BA14" s="6"/>
      <c r="BB14" s="6">
        <v>0.31</v>
      </c>
      <c r="BC14" s="6"/>
      <c r="BD14" s="6">
        <v>2.5</v>
      </c>
      <c r="BE14" s="6"/>
      <c r="BF14" s="6">
        <f t="shared" si="5"/>
        <v>0.90389999999999993</v>
      </c>
      <c r="BG14" s="6">
        <f t="shared" si="6"/>
        <v>1.7161000000000002</v>
      </c>
      <c r="BH14" s="6">
        <v>234.5</v>
      </c>
      <c r="BI14" s="6"/>
      <c r="BJ14" s="6">
        <v>194.1</v>
      </c>
      <c r="BK14" s="6"/>
      <c r="BL14" s="6">
        <f t="shared" si="1"/>
        <v>4.9229435151456729</v>
      </c>
      <c r="BM14" s="6"/>
      <c r="BN14" s="14" t="s">
        <v>73</v>
      </c>
      <c r="BO14" s="222">
        <v>19.2</v>
      </c>
      <c r="BP14" s="33">
        <v>3</v>
      </c>
      <c r="BQ14" s="33">
        <v>52</v>
      </c>
      <c r="BR14" s="33">
        <v>2800</v>
      </c>
      <c r="BS14" s="33">
        <v>12</v>
      </c>
      <c r="BU14" s="211">
        <v>0.71265999999999996</v>
      </c>
      <c r="BV14" s="211">
        <v>6.9510000000000002E-2</v>
      </c>
      <c r="BW14" s="211">
        <v>0</v>
      </c>
      <c r="BX14" s="211">
        <v>0</v>
      </c>
      <c r="BY14" s="211">
        <v>3.15E-3</v>
      </c>
      <c r="BZ14" s="211">
        <v>1.1650000000000001E-2</v>
      </c>
      <c r="CA14" s="211">
        <v>0.21274999999999999</v>
      </c>
      <c r="CB14" s="211">
        <v>6.4640000000000003E-2</v>
      </c>
      <c r="CC14" s="211">
        <v>7.1429999999999993E-2</v>
      </c>
      <c r="CD14" s="211">
        <v>1.6310000000000002E-2</v>
      </c>
      <c r="CE14" s="211">
        <v>1.0000000000000001E-5</v>
      </c>
      <c r="CF14" s="211">
        <v>3.1700000000000001E-3</v>
      </c>
      <c r="CG14" s="211">
        <v>0</v>
      </c>
      <c r="CH14" s="211">
        <v>0</v>
      </c>
      <c r="CI14" s="212">
        <f t="shared" si="7"/>
        <v>0.92540999999999995</v>
      </c>
    </row>
    <row r="15" spans="1:87" ht="16.5" thickBot="1">
      <c r="A15" s="67" t="s">
        <v>27</v>
      </c>
      <c r="B15" s="67">
        <f t="shared" si="2"/>
        <v>13</v>
      </c>
      <c r="C15" s="5">
        <v>39773</v>
      </c>
      <c r="D15" s="38">
        <v>1.8553240740740742E-2</v>
      </c>
      <c r="E15" s="39">
        <v>1</v>
      </c>
      <c r="F15" s="37">
        <v>53.183</v>
      </c>
      <c r="G15" s="37">
        <v>-109.875</v>
      </c>
      <c r="H15" s="20">
        <v>53</v>
      </c>
      <c r="I15" s="20">
        <v>-109.848</v>
      </c>
      <c r="J15" s="6" t="s">
        <v>28</v>
      </c>
      <c r="K15" s="6" t="s">
        <v>29</v>
      </c>
      <c r="L15" s="6">
        <v>18</v>
      </c>
      <c r="M15" s="6">
        <v>0.4</v>
      </c>
      <c r="N15" s="6" t="s">
        <v>57</v>
      </c>
      <c r="O15" s="6">
        <v>8000</v>
      </c>
      <c r="P15" s="6"/>
      <c r="Q15" s="6">
        <f>2*(3*O15/(4*3.1415*$K$174))^0.33333</f>
        <v>1.6190793800297927</v>
      </c>
      <c r="R15" s="6"/>
      <c r="S15" s="6"/>
      <c r="T15" s="6">
        <v>31</v>
      </c>
      <c r="U15" s="6"/>
      <c r="V15" s="6">
        <v>81</v>
      </c>
      <c r="W15" s="6"/>
      <c r="X15" s="6">
        <v>12.7</v>
      </c>
      <c r="Y15" s="6"/>
      <c r="Z15" s="22">
        <f t="shared" si="3"/>
        <v>54.318018712382582</v>
      </c>
      <c r="AA15" s="6">
        <v>23</v>
      </c>
      <c r="AB15" s="6"/>
      <c r="AC15" s="147"/>
      <c r="AD15" s="144">
        <f t="shared" si="0"/>
        <v>0.30967741935483872</v>
      </c>
      <c r="AE15" s="150"/>
      <c r="AF15" s="151">
        <v>-4.5</v>
      </c>
      <c r="AG15" s="151"/>
      <c r="AH15" s="155" t="s">
        <v>249</v>
      </c>
      <c r="AI15" s="157" t="s">
        <v>74</v>
      </c>
      <c r="AJ15" s="155"/>
      <c r="AK15" s="155"/>
      <c r="AL15" s="155"/>
      <c r="AM15" s="154"/>
      <c r="AN15" s="155" t="s">
        <v>88</v>
      </c>
      <c r="AO15" s="155" t="s">
        <v>131</v>
      </c>
      <c r="AP15" s="7"/>
      <c r="AQ15" s="7"/>
      <c r="AR15" s="7"/>
      <c r="AS15" s="7"/>
      <c r="AT15" s="7" t="s">
        <v>324</v>
      </c>
      <c r="AU15" s="7" t="s">
        <v>322</v>
      </c>
      <c r="AV15" s="7" t="s">
        <v>325</v>
      </c>
      <c r="AW15" s="7" t="s">
        <v>323</v>
      </c>
      <c r="AX15" s="7"/>
      <c r="AY15" s="7"/>
      <c r="AZ15" s="6">
        <v>1.23</v>
      </c>
      <c r="BA15" s="6"/>
      <c r="BB15" s="6">
        <v>0.22</v>
      </c>
      <c r="BC15" s="6"/>
      <c r="BD15" s="6">
        <v>25.5</v>
      </c>
      <c r="BE15" s="6"/>
      <c r="BF15" s="6">
        <f t="shared" si="5"/>
        <v>0.95940000000000003</v>
      </c>
      <c r="BG15" s="6">
        <f t="shared" si="6"/>
        <v>1.5005999999999999</v>
      </c>
      <c r="BH15" s="6">
        <v>212</v>
      </c>
      <c r="BI15" s="6"/>
      <c r="BJ15" s="6">
        <v>238.9</v>
      </c>
      <c r="BK15" s="6"/>
      <c r="BL15" s="6">
        <f t="shared" si="1"/>
        <v>5.0840811002478778</v>
      </c>
      <c r="BM15" s="6"/>
      <c r="BN15" s="14" t="s">
        <v>153</v>
      </c>
      <c r="BO15" s="222"/>
      <c r="BP15" s="33"/>
      <c r="BQ15" s="33"/>
      <c r="BR15" s="33"/>
      <c r="BS15" s="33"/>
      <c r="BU15" s="211">
        <v>0.56620000000000004</v>
      </c>
      <c r="BV15" s="211">
        <v>8.6459999999999995E-2</v>
      </c>
      <c r="BW15" s="211">
        <v>3.0000000000000001E-5</v>
      </c>
      <c r="BX15" s="211">
        <v>5.4000000000000001E-4</v>
      </c>
      <c r="BY15" s="211">
        <v>0</v>
      </c>
      <c r="BZ15" s="211">
        <v>0</v>
      </c>
      <c r="CA15" s="211">
        <v>0.36958000000000002</v>
      </c>
      <c r="CB15" s="211">
        <v>9.0999999999999998E-2</v>
      </c>
      <c r="CC15" s="211">
        <v>6.411E-2</v>
      </c>
      <c r="CD15" s="211">
        <v>1.4540000000000001E-2</v>
      </c>
      <c r="CE15" s="211">
        <v>9.0000000000000006E-5</v>
      </c>
      <c r="CF15" s="211">
        <v>2.2530000000000001E-2</v>
      </c>
      <c r="CG15" s="211">
        <v>0</v>
      </c>
      <c r="CH15" s="211">
        <v>0</v>
      </c>
      <c r="CI15" s="212">
        <f t="shared" si="7"/>
        <v>0.93578000000000006</v>
      </c>
    </row>
    <row r="16" spans="1:87" ht="32.25" thickBot="1">
      <c r="A16" s="67" t="s">
        <v>92</v>
      </c>
      <c r="B16" s="67">
        <f t="shared" si="2"/>
        <v>14</v>
      </c>
      <c r="C16" s="5">
        <v>39830</v>
      </c>
      <c r="D16" s="38">
        <v>0.79754629629629636</v>
      </c>
      <c r="E16" s="39"/>
      <c r="F16" s="37">
        <v>54.585099999999997</v>
      </c>
      <c r="G16" s="37">
        <v>13.656599999999999</v>
      </c>
      <c r="H16" s="20">
        <v>54.762</v>
      </c>
      <c r="I16" s="20">
        <v>11.467499999999999</v>
      </c>
      <c r="J16" s="6" t="s">
        <v>93</v>
      </c>
      <c r="K16" s="6">
        <v>2.5000000000000001E-2</v>
      </c>
      <c r="L16" s="6">
        <v>28.3</v>
      </c>
      <c r="M16" s="6">
        <v>0.2</v>
      </c>
      <c r="N16" s="6" t="s">
        <v>57</v>
      </c>
      <c r="O16" s="6">
        <v>1500</v>
      </c>
      <c r="P16" s="6"/>
      <c r="Q16" s="6">
        <f>2*(3*O16/(4*3.1415*$K$175))^0.33333</f>
        <v>1.1272691970820206</v>
      </c>
      <c r="R16" s="6">
        <v>-19</v>
      </c>
      <c r="S16" s="6"/>
      <c r="T16" s="6">
        <v>37.1</v>
      </c>
      <c r="U16" s="6"/>
      <c r="V16" s="6">
        <v>112.4</v>
      </c>
      <c r="W16" s="6"/>
      <c r="X16" s="6" t="s">
        <v>252</v>
      </c>
      <c r="Y16" s="6"/>
      <c r="Z16" s="22">
        <f t="shared" si="3"/>
        <v>150.59999534042387</v>
      </c>
      <c r="AA16" s="6">
        <v>60</v>
      </c>
      <c r="AB16" s="6"/>
      <c r="AC16" s="147"/>
      <c r="AD16" s="144">
        <f t="shared" si="0"/>
        <v>0.14352867383512544</v>
      </c>
      <c r="AE16" s="150"/>
      <c r="AF16" s="151">
        <v>-4.9000000000000004</v>
      </c>
      <c r="AG16" s="151"/>
      <c r="AH16" s="155" t="s">
        <v>250</v>
      </c>
      <c r="AI16" s="157" t="s">
        <v>253</v>
      </c>
      <c r="AJ16" s="155"/>
      <c r="AK16" s="155"/>
      <c r="AL16" s="155"/>
      <c r="AM16" s="154">
        <f t="shared" si="4"/>
        <v>25.525422939054891</v>
      </c>
      <c r="AN16" s="155" t="s">
        <v>94</v>
      </c>
      <c r="AO16" s="155" t="s">
        <v>131</v>
      </c>
      <c r="AP16" s="7"/>
      <c r="AQ16" s="7"/>
      <c r="AR16" s="7"/>
      <c r="AS16" s="7"/>
      <c r="AT16" s="7" t="s">
        <v>254</v>
      </c>
      <c r="AU16" s="7" t="s">
        <v>305</v>
      </c>
      <c r="AV16" s="7" t="s">
        <v>255</v>
      </c>
      <c r="AW16" s="7" t="s">
        <v>309</v>
      </c>
      <c r="AX16" s="7"/>
      <c r="AY16" s="7"/>
      <c r="AZ16" s="6">
        <v>2.48</v>
      </c>
      <c r="BA16" s="6"/>
      <c r="BB16" s="6">
        <v>0.80700000000000005</v>
      </c>
      <c r="BC16" s="6"/>
      <c r="BD16" s="6">
        <v>0.11</v>
      </c>
      <c r="BE16" s="6"/>
      <c r="BF16" s="6">
        <f t="shared" si="5"/>
        <v>0.47863999999999984</v>
      </c>
      <c r="BG16" s="6">
        <f t="shared" si="6"/>
        <v>4.4813599999999996</v>
      </c>
      <c r="BH16" s="6">
        <v>279.2</v>
      </c>
      <c r="BI16" s="6"/>
      <c r="BJ16" s="6">
        <v>297.12200000000001</v>
      </c>
      <c r="BK16" s="6"/>
      <c r="BL16" s="6">
        <f t="shared" si="1"/>
        <v>2.9124378176961621</v>
      </c>
      <c r="BM16" s="6"/>
      <c r="BN16" s="14" t="s">
        <v>247</v>
      </c>
      <c r="BO16" s="222">
        <v>1.1000000000000001</v>
      </c>
      <c r="BP16" s="33">
        <v>0.3</v>
      </c>
      <c r="BQ16" s="33" t="s">
        <v>284</v>
      </c>
      <c r="BR16" s="33"/>
      <c r="BS16" s="33"/>
      <c r="BU16" s="211">
        <v>0.23863000000000001</v>
      </c>
      <c r="BV16" s="211">
        <v>4.299E-2</v>
      </c>
      <c r="BW16" s="211">
        <v>9.2000000000000003E-4</v>
      </c>
      <c r="BX16" s="211">
        <v>1.7069999999999998E-2</v>
      </c>
      <c r="BY16" s="211">
        <v>7.7999999999999999E-4</v>
      </c>
      <c r="BZ16" s="211">
        <v>3.0100000000000001E-3</v>
      </c>
      <c r="CA16" s="211">
        <v>1.32E-2</v>
      </c>
      <c r="CB16" s="211">
        <v>4.8399999999999997E-3</v>
      </c>
      <c r="CC16" s="211">
        <v>0.50651000000000002</v>
      </c>
      <c r="CD16" s="211">
        <v>8.1220000000000001E-2</v>
      </c>
      <c r="CE16" s="211">
        <v>0</v>
      </c>
      <c r="CF16" s="211">
        <v>2.2000000000000001E-4</v>
      </c>
      <c r="CG16" s="211">
        <v>0.23995</v>
      </c>
      <c r="CH16" s="211">
        <v>7.1340000000000001E-2</v>
      </c>
      <c r="CI16" s="212">
        <f t="shared" si="7"/>
        <v>0.25183</v>
      </c>
    </row>
    <row r="17" spans="1:87" ht="16.5" thickBot="1">
      <c r="A17" s="67" t="s">
        <v>30</v>
      </c>
      <c r="B17" s="67">
        <f t="shared" si="2"/>
        <v>15</v>
      </c>
      <c r="C17" s="5">
        <v>39912</v>
      </c>
      <c r="D17" s="38">
        <v>4.1440972222222219E-2</v>
      </c>
      <c r="E17" s="39"/>
      <c r="F17" s="37">
        <v>46.661999999999999</v>
      </c>
      <c r="G17" s="37">
        <v>13.692</v>
      </c>
      <c r="H17" s="20">
        <v>46.420999999999999</v>
      </c>
      <c r="I17" s="20">
        <v>14.052</v>
      </c>
      <c r="J17" s="6" t="s">
        <v>23</v>
      </c>
      <c r="K17" s="6">
        <v>3.6</v>
      </c>
      <c r="L17" s="6">
        <v>13.8</v>
      </c>
      <c r="M17" s="6">
        <v>0.25</v>
      </c>
      <c r="N17" s="6" t="s">
        <v>57</v>
      </c>
      <c r="O17" s="6">
        <v>170</v>
      </c>
      <c r="P17" s="6"/>
      <c r="Q17" s="6">
        <f>2*(3*O17/(4*3.1415*$K$174))^0.33333</f>
        <v>0.44846308012579694</v>
      </c>
      <c r="R17" s="6">
        <v>-15</v>
      </c>
      <c r="S17" s="6"/>
      <c r="T17" s="6">
        <v>26</v>
      </c>
      <c r="U17" s="6"/>
      <c r="V17" s="6">
        <v>88</v>
      </c>
      <c r="W17" s="6"/>
      <c r="X17" s="6">
        <v>18</v>
      </c>
      <c r="Y17" s="6"/>
      <c r="Z17" s="22">
        <f t="shared" si="3"/>
        <v>72.331270226233471</v>
      </c>
      <c r="AA17" s="6">
        <v>31</v>
      </c>
      <c r="AB17" s="6"/>
      <c r="AC17" s="147"/>
      <c r="AD17" s="144">
        <f t="shared" si="0"/>
        <v>3.8679569892473118E-3</v>
      </c>
      <c r="AE17" s="150"/>
      <c r="AF17" s="151">
        <v>-4.3</v>
      </c>
      <c r="AG17" s="151"/>
      <c r="AH17" s="155" t="s">
        <v>249</v>
      </c>
      <c r="AI17" s="156">
        <v>6.6</v>
      </c>
      <c r="AJ17" s="155"/>
      <c r="AK17" s="155"/>
      <c r="AL17" s="155"/>
      <c r="AM17" s="154">
        <f t="shared" si="4"/>
        <v>10.959283367611132</v>
      </c>
      <c r="AN17" s="155" t="s">
        <v>89</v>
      </c>
      <c r="AO17" s="155" t="s">
        <v>131</v>
      </c>
      <c r="AP17" s="7"/>
      <c r="AQ17" s="7"/>
      <c r="AR17" s="7"/>
      <c r="AS17" s="7"/>
      <c r="AT17" s="7" t="s">
        <v>121</v>
      </c>
      <c r="AU17" s="7" t="s">
        <v>326</v>
      </c>
      <c r="AV17" s="7" t="s">
        <v>122</v>
      </c>
      <c r="AW17" s="7" t="s">
        <v>309</v>
      </c>
      <c r="AX17" s="7"/>
      <c r="AY17" s="7"/>
      <c r="AZ17" s="6">
        <v>1.75</v>
      </c>
      <c r="BA17" s="6"/>
      <c r="BB17" s="6">
        <v>0.43</v>
      </c>
      <c r="BC17" s="6"/>
      <c r="BD17" s="6">
        <v>9.6</v>
      </c>
      <c r="BE17" s="6"/>
      <c r="BF17" s="6">
        <f t="shared" si="5"/>
        <v>0.99750000000000005</v>
      </c>
      <c r="BG17" s="6">
        <f t="shared" si="6"/>
        <v>2.5024999999999999</v>
      </c>
      <c r="BH17" s="6">
        <v>190.5</v>
      </c>
      <c r="BI17" s="6"/>
      <c r="BJ17" s="6">
        <v>19.2</v>
      </c>
      <c r="BK17" s="6"/>
      <c r="BL17" s="6">
        <f t="shared" si="1"/>
        <v>4.0042564792393982</v>
      </c>
      <c r="BM17" s="6"/>
      <c r="BN17" s="14">
        <v>15</v>
      </c>
      <c r="BO17" s="222">
        <v>4</v>
      </c>
      <c r="BP17" s="33"/>
      <c r="BQ17" s="33">
        <v>51</v>
      </c>
      <c r="BR17" s="33"/>
      <c r="BS17" s="33"/>
      <c r="BU17" s="211">
        <v>0.70879999999999999</v>
      </c>
      <c r="BV17" s="211">
        <v>7.0639999999999994E-2</v>
      </c>
      <c r="BW17" s="211">
        <v>1.1E-4</v>
      </c>
      <c r="BX17" s="211">
        <v>2.0899999999999998E-3</v>
      </c>
      <c r="BY17" s="211">
        <v>1.3999999999999999E-4</v>
      </c>
      <c r="BZ17" s="211">
        <v>5.1999999999999995E-4</v>
      </c>
      <c r="CA17" s="211">
        <v>0.22323999999999999</v>
      </c>
      <c r="CB17" s="211">
        <v>6.7330000000000001E-2</v>
      </c>
      <c r="CC17" s="211">
        <v>6.7699999999999996E-2</v>
      </c>
      <c r="CD17" s="211">
        <v>1.55E-2</v>
      </c>
      <c r="CE17" s="211">
        <v>1.0000000000000001E-5</v>
      </c>
      <c r="CF17" s="211">
        <v>3.0000000000000001E-3</v>
      </c>
      <c r="CG17" s="211">
        <v>0</v>
      </c>
      <c r="CH17" s="211">
        <v>0</v>
      </c>
      <c r="CI17" s="212">
        <f t="shared" si="7"/>
        <v>0.93203999999999998</v>
      </c>
    </row>
    <row r="18" spans="1:87" ht="16.5" thickBot="1">
      <c r="A18" s="67" t="s">
        <v>75</v>
      </c>
      <c r="B18" s="67">
        <f t="shared" si="2"/>
        <v>16</v>
      </c>
      <c r="C18" s="5">
        <v>40081</v>
      </c>
      <c r="D18" s="38">
        <v>4.3731481481481482E-2</v>
      </c>
      <c r="E18" s="39"/>
      <c r="F18" s="37">
        <v>43.533999999999999</v>
      </c>
      <c r="G18" s="37">
        <v>-80.194000000000003</v>
      </c>
      <c r="H18" s="20">
        <v>43.2</v>
      </c>
      <c r="I18" s="20">
        <v>-79.616699999999994</v>
      </c>
      <c r="J18" s="6" t="s">
        <v>76</v>
      </c>
      <c r="K18" s="6">
        <v>0.215</v>
      </c>
      <c r="L18" s="6">
        <v>20.91</v>
      </c>
      <c r="M18" s="6">
        <v>0.19</v>
      </c>
      <c r="N18" s="6">
        <v>3.1</v>
      </c>
      <c r="O18" s="6">
        <v>100</v>
      </c>
      <c r="P18" s="6"/>
      <c r="Q18" s="6">
        <f>2*(3*O18/(4*3.1415*$K$174))^0.33333</f>
        <v>0.3757605271559914</v>
      </c>
      <c r="R18" s="6">
        <v>-14.5</v>
      </c>
      <c r="S18" s="6"/>
      <c r="T18" s="6">
        <v>39</v>
      </c>
      <c r="U18" s="6"/>
      <c r="V18" s="6">
        <v>100</v>
      </c>
      <c r="W18" s="6"/>
      <c r="X18" s="6">
        <v>19.600000000000001</v>
      </c>
      <c r="Y18" s="6"/>
      <c r="Z18" s="22">
        <f t="shared" si="3"/>
        <v>74.467249371111279</v>
      </c>
      <c r="AA18" s="6">
        <v>35</v>
      </c>
      <c r="AB18" s="6"/>
      <c r="AC18" s="147"/>
      <c r="AD18" s="144">
        <f t="shared" si="0"/>
        <v>5.2237526881720427E-3</v>
      </c>
      <c r="AE18" s="150"/>
      <c r="AF18" s="151">
        <v>-4.0999999999999996</v>
      </c>
      <c r="AG18" s="151"/>
      <c r="AH18" s="155" t="s">
        <v>249</v>
      </c>
      <c r="AI18" s="156">
        <v>6.04</v>
      </c>
      <c r="AJ18" s="155"/>
      <c r="AK18" s="155"/>
      <c r="AL18" s="155"/>
      <c r="AM18" s="154">
        <f t="shared" si="4"/>
        <v>12.329014796541603</v>
      </c>
      <c r="AN18" s="155" t="s">
        <v>90</v>
      </c>
      <c r="AO18" s="155" t="s">
        <v>131</v>
      </c>
      <c r="AP18" s="7"/>
      <c r="AQ18" s="7"/>
      <c r="AR18" s="7"/>
      <c r="AS18" s="7"/>
      <c r="AT18" s="7" t="s">
        <v>123</v>
      </c>
      <c r="AU18" s="7" t="s">
        <v>327</v>
      </c>
      <c r="AV18" s="7" t="s">
        <v>124</v>
      </c>
      <c r="AW18" s="7" t="s">
        <v>328</v>
      </c>
      <c r="AX18" s="7"/>
      <c r="AY18" s="7"/>
      <c r="AZ18" s="6">
        <v>2.04</v>
      </c>
      <c r="BA18" s="6"/>
      <c r="BB18" s="6">
        <v>0.51800000000000002</v>
      </c>
      <c r="BC18" s="6"/>
      <c r="BD18" s="6">
        <v>28.07</v>
      </c>
      <c r="BE18" s="6"/>
      <c r="BF18" s="6">
        <f t="shared" si="5"/>
        <v>0.98327999999999993</v>
      </c>
      <c r="BG18" s="6">
        <f t="shared" si="6"/>
        <v>3.0967199999999999</v>
      </c>
      <c r="BH18" s="6">
        <v>159.86500000000001</v>
      </c>
      <c r="BI18" s="6"/>
      <c r="BJ18" s="6">
        <v>182.95609999999999</v>
      </c>
      <c r="BK18" s="6"/>
      <c r="BL18" s="6">
        <f t="shared" si="1"/>
        <v>3.4945058313860407</v>
      </c>
      <c r="BM18" s="6"/>
      <c r="BN18" s="14">
        <v>16</v>
      </c>
      <c r="BO18" s="222">
        <v>24</v>
      </c>
      <c r="BP18" s="33">
        <v>2</v>
      </c>
      <c r="BQ18" s="33" t="s">
        <v>223</v>
      </c>
      <c r="BR18" s="33">
        <v>3370</v>
      </c>
      <c r="BS18" s="33">
        <v>16</v>
      </c>
      <c r="BU18" s="211">
        <v>0.21501999999999999</v>
      </c>
      <c r="BV18" s="211">
        <v>5.6649999999999999E-2</v>
      </c>
      <c r="BW18" s="211">
        <v>1.4E-3</v>
      </c>
      <c r="BX18" s="211">
        <v>2.3199999999999998E-2</v>
      </c>
      <c r="BY18" s="211">
        <v>2.3000000000000001E-4</v>
      </c>
      <c r="BZ18" s="211">
        <v>8.3000000000000001E-4</v>
      </c>
      <c r="CA18" s="211">
        <v>0.35754999999999998</v>
      </c>
      <c r="CB18" s="211">
        <v>0.10126</v>
      </c>
      <c r="CC18" s="211">
        <v>0.42438999999999999</v>
      </c>
      <c r="CD18" s="211">
        <v>9.7019999999999995E-2</v>
      </c>
      <c r="CE18" s="211">
        <v>1.41E-3</v>
      </c>
      <c r="CF18" s="211">
        <v>0.17396</v>
      </c>
      <c r="CG18" s="211">
        <v>0</v>
      </c>
      <c r="CH18" s="211">
        <v>0</v>
      </c>
      <c r="CI18" s="212">
        <f t="shared" si="7"/>
        <v>0.57257000000000002</v>
      </c>
    </row>
    <row r="19" spans="1:87" ht="16.5" thickBot="1">
      <c r="A19" s="9" t="s">
        <v>77</v>
      </c>
      <c r="B19" s="9">
        <f t="shared" si="2"/>
        <v>17</v>
      </c>
      <c r="C19" s="5">
        <v>40237</v>
      </c>
      <c r="D19" s="38">
        <v>0.93386574074074069</v>
      </c>
      <c r="E19" s="39"/>
      <c r="F19" s="37">
        <v>20.704999999999998</v>
      </c>
      <c r="G19" s="37">
        <v>48.667000000000002</v>
      </c>
      <c r="H19" s="20">
        <v>48.764000000000003</v>
      </c>
      <c r="I19" s="20">
        <v>21.175999999999998</v>
      </c>
      <c r="J19" s="6" t="s">
        <v>10</v>
      </c>
      <c r="K19" s="6">
        <v>4.3</v>
      </c>
      <c r="L19" s="6">
        <v>15</v>
      </c>
      <c r="M19" s="6">
        <v>0.3</v>
      </c>
      <c r="N19" s="6">
        <v>4.5</v>
      </c>
      <c r="O19" s="6">
        <v>3500</v>
      </c>
      <c r="P19" s="6"/>
      <c r="Q19" s="6">
        <f>2*(3*O19/(4*3.1415*$K$174))^0.33333</f>
        <v>1.2291230344583597</v>
      </c>
      <c r="R19" s="6">
        <v>-18</v>
      </c>
      <c r="S19" s="6"/>
      <c r="T19" s="6">
        <v>36</v>
      </c>
      <c r="U19" s="6"/>
      <c r="V19" s="6" t="s">
        <v>78</v>
      </c>
      <c r="W19" s="6"/>
      <c r="X19" s="6">
        <v>17.399999999999999</v>
      </c>
      <c r="Y19" s="6"/>
      <c r="Z19" s="22"/>
      <c r="AA19" s="6">
        <v>30</v>
      </c>
      <c r="AB19" s="6"/>
      <c r="AC19" s="147"/>
      <c r="AD19" s="144">
        <f t="shared" si="0"/>
        <v>9.4086021505376344E-2</v>
      </c>
      <c r="AE19" s="150"/>
      <c r="AF19" s="151">
        <v>-4.9000000000000004</v>
      </c>
      <c r="AG19" s="151"/>
      <c r="AH19" s="155" t="s">
        <v>250</v>
      </c>
      <c r="AI19" s="156">
        <v>4.5</v>
      </c>
      <c r="AJ19" s="155"/>
      <c r="AK19" s="155"/>
      <c r="AL19" s="155"/>
      <c r="AM19" s="154"/>
      <c r="AN19" s="155" t="s">
        <v>89</v>
      </c>
      <c r="AO19" s="155" t="s">
        <v>131</v>
      </c>
      <c r="AP19" s="7"/>
      <c r="AQ19" s="7"/>
      <c r="AR19" s="7"/>
      <c r="AS19" s="7"/>
      <c r="AT19" s="7" t="s">
        <v>125</v>
      </c>
      <c r="AU19" s="7" t="s">
        <v>314</v>
      </c>
      <c r="AV19" s="7" t="s">
        <v>126</v>
      </c>
      <c r="AW19" s="7" t="s">
        <v>329</v>
      </c>
      <c r="AX19" s="7"/>
      <c r="AY19" s="7"/>
      <c r="AZ19" s="6">
        <v>2.71</v>
      </c>
      <c r="BA19" s="6"/>
      <c r="BB19" s="6">
        <v>0.64700000000000002</v>
      </c>
      <c r="BC19" s="6"/>
      <c r="BD19" s="6">
        <v>2</v>
      </c>
      <c r="BE19" s="6"/>
      <c r="BF19" s="6">
        <f t="shared" si="5"/>
        <v>0.95662999999999998</v>
      </c>
      <c r="BG19" s="6">
        <f t="shared" si="6"/>
        <v>4.4633700000000003</v>
      </c>
      <c r="BH19" s="6">
        <v>204.2</v>
      </c>
      <c r="BI19" s="6"/>
      <c r="BJ19" s="6">
        <v>340.072</v>
      </c>
      <c r="BK19" s="6"/>
      <c r="BL19" s="6">
        <f t="shared" si="1"/>
        <v>3.0190466492458321</v>
      </c>
      <c r="BM19" s="6"/>
      <c r="BN19" s="14">
        <v>17</v>
      </c>
      <c r="BO19" s="222">
        <v>6</v>
      </c>
      <c r="BP19" s="33">
        <v>1</v>
      </c>
      <c r="BQ19" s="33">
        <v>50</v>
      </c>
      <c r="BR19" s="33">
        <v>3430</v>
      </c>
      <c r="BS19" s="33">
        <v>17</v>
      </c>
      <c r="BU19" s="211">
        <v>9.4079999999999997E-2</v>
      </c>
      <c r="BV19" s="211">
        <v>2.4819999999999998E-2</v>
      </c>
      <c r="BW19" s="211">
        <v>4.1900000000000001E-3</v>
      </c>
      <c r="BX19" s="211">
        <v>6.3600000000000004E-2</v>
      </c>
      <c r="BY19" s="211">
        <v>1.66E-3</v>
      </c>
      <c r="BZ19" s="211">
        <v>6.7000000000000002E-3</v>
      </c>
      <c r="CA19" s="211">
        <v>4.1900000000000001E-3</v>
      </c>
      <c r="CB19" s="211">
        <v>1.9599999999999999E-3</v>
      </c>
      <c r="CC19" s="211">
        <v>0.27646999999999999</v>
      </c>
      <c r="CD19" s="211">
        <v>8.702E-2</v>
      </c>
      <c r="CE19" s="211">
        <v>0</v>
      </c>
      <c r="CF19" s="211">
        <v>9.0000000000000006E-5</v>
      </c>
      <c r="CG19" s="211">
        <v>0.61941000000000002</v>
      </c>
      <c r="CH19" s="211">
        <v>0.11076999999999999</v>
      </c>
      <c r="CI19" s="212">
        <f t="shared" si="7"/>
        <v>9.8269999999999996E-2</v>
      </c>
    </row>
    <row r="20" spans="1:87" ht="16.5" thickBot="1">
      <c r="A20" s="67" t="s">
        <v>79</v>
      </c>
      <c r="B20" s="67">
        <f t="shared" si="2"/>
        <v>18</v>
      </c>
      <c r="C20" s="5">
        <v>40281</v>
      </c>
      <c r="D20" s="38">
        <v>0.44181365740740741</v>
      </c>
      <c r="E20" s="39">
        <v>0.05</v>
      </c>
      <c r="F20" s="37">
        <v>-29.902259999999998</v>
      </c>
      <c r="G20" s="37">
        <v>128.39882</v>
      </c>
      <c r="H20" s="20">
        <v>-30.274999999999999</v>
      </c>
      <c r="I20" s="20">
        <v>128.215</v>
      </c>
      <c r="J20" s="6" t="s">
        <v>10</v>
      </c>
      <c r="K20" s="6">
        <v>2.5000000000000001E-2</v>
      </c>
      <c r="L20" s="6">
        <v>14.647</v>
      </c>
      <c r="M20" s="6">
        <v>1.0999999999999999E-2</v>
      </c>
      <c r="N20" s="6">
        <v>4.0999999999999996</v>
      </c>
      <c r="O20" s="6">
        <v>40</v>
      </c>
      <c r="P20" s="6"/>
      <c r="Q20" s="6">
        <f>2*(3*O20/(4*3.1415*$K$174))^0.33333</f>
        <v>0.27686356922146121</v>
      </c>
      <c r="R20" s="6">
        <v>-10.5</v>
      </c>
      <c r="S20" s="6"/>
      <c r="T20" s="6">
        <v>35.78</v>
      </c>
      <c r="U20" s="6">
        <v>0.02</v>
      </c>
      <c r="V20" s="6">
        <v>83.46</v>
      </c>
      <c r="W20" s="6">
        <v>0.02</v>
      </c>
      <c r="X20" s="6">
        <v>23.84</v>
      </c>
      <c r="Y20" s="6">
        <v>0.02</v>
      </c>
      <c r="Z20" s="22">
        <f t="shared" si="3"/>
        <v>58.84630535406302</v>
      </c>
      <c r="AA20" s="6">
        <v>35.880000000000003</v>
      </c>
      <c r="AB20" s="6">
        <v>0.04</v>
      </c>
      <c r="AC20" s="147"/>
      <c r="AD20" s="144">
        <f t="shared" si="0"/>
        <v>1.0252550011947432E-3</v>
      </c>
      <c r="AE20" s="150"/>
      <c r="AF20" s="151">
        <v>-4.22</v>
      </c>
      <c r="AG20" s="151"/>
      <c r="AH20" s="155" t="s">
        <v>249</v>
      </c>
      <c r="AI20" s="156">
        <v>5.97</v>
      </c>
      <c r="AJ20" s="155"/>
      <c r="AK20" s="155"/>
      <c r="AL20" s="155"/>
      <c r="AM20" s="154">
        <f t="shared" si="4"/>
        <v>9.8570025718698524</v>
      </c>
      <c r="AN20" s="155" t="s">
        <v>82</v>
      </c>
      <c r="AO20" s="155" t="s">
        <v>131</v>
      </c>
      <c r="AP20" s="7" t="s">
        <v>391</v>
      </c>
      <c r="AQ20" s="7" t="s">
        <v>317</v>
      </c>
      <c r="AR20" s="7" t="s">
        <v>392</v>
      </c>
      <c r="AS20" s="7" t="s">
        <v>317</v>
      </c>
      <c r="AT20" s="7" t="s">
        <v>330</v>
      </c>
      <c r="AU20" s="7" t="s">
        <v>302</v>
      </c>
      <c r="AV20" s="7" t="s">
        <v>393</v>
      </c>
      <c r="AW20" s="7" t="s">
        <v>302</v>
      </c>
      <c r="AX20" s="7"/>
      <c r="AY20" s="7"/>
      <c r="AZ20" s="6">
        <v>2.556</v>
      </c>
      <c r="BA20" s="6">
        <v>8.9999999999999993E-3</v>
      </c>
      <c r="BB20" s="6">
        <v>0.61580000000000001</v>
      </c>
      <c r="BC20" s="6">
        <v>1.2999999999999999E-3</v>
      </c>
      <c r="BD20" s="6">
        <v>0.89500000000000002</v>
      </c>
      <c r="BE20" s="6">
        <v>1.4E-2</v>
      </c>
      <c r="BF20" s="6">
        <f t="shared" si="5"/>
        <v>0.98201519999999998</v>
      </c>
      <c r="BG20" s="6">
        <f t="shared" si="6"/>
        <v>4.1299848000000008</v>
      </c>
      <c r="BH20" s="6">
        <v>19</v>
      </c>
      <c r="BI20" s="6">
        <v>0.03</v>
      </c>
      <c r="BJ20" s="6">
        <v>203.214</v>
      </c>
      <c r="BK20" s="6"/>
      <c r="BL20" s="6">
        <f t="shared" si="1"/>
        <v>3.1390878155730766</v>
      </c>
      <c r="BM20" s="6"/>
      <c r="BN20" s="14">
        <v>18</v>
      </c>
      <c r="BO20" s="222"/>
      <c r="BP20" s="33"/>
      <c r="BQ20" s="33"/>
      <c r="BR20" s="33">
        <v>3320</v>
      </c>
      <c r="BS20" s="33">
        <v>49</v>
      </c>
      <c r="BU20" s="211">
        <v>0.20616999999999999</v>
      </c>
      <c r="BV20" s="211">
        <v>4.2360000000000002E-2</v>
      </c>
      <c r="BW20" s="211">
        <v>9.3999999999999997E-4</v>
      </c>
      <c r="BX20" s="211">
        <v>1.7569999999999999E-2</v>
      </c>
      <c r="BY20" s="211">
        <v>4.8000000000000001E-4</v>
      </c>
      <c r="BZ20" s="211">
        <v>1.8699999999999999E-3</v>
      </c>
      <c r="CA20" s="211">
        <v>9.7800000000000005E-3</v>
      </c>
      <c r="CB20" s="211">
        <v>3.5400000000000002E-3</v>
      </c>
      <c r="CC20" s="211">
        <v>0.65098</v>
      </c>
      <c r="CD20" s="211">
        <v>7.3660000000000003E-2</v>
      </c>
      <c r="CE20" s="211">
        <v>0</v>
      </c>
      <c r="CF20" s="211">
        <v>2.3000000000000001E-4</v>
      </c>
      <c r="CG20" s="211">
        <v>0.13164000000000001</v>
      </c>
      <c r="CH20" s="211">
        <v>4.6260000000000003E-2</v>
      </c>
      <c r="CI20" s="212">
        <f t="shared" si="7"/>
        <v>0.21595</v>
      </c>
    </row>
    <row r="21" spans="1:87" s="50" customFormat="1" ht="16.5" thickBot="1">
      <c r="A21" s="40" t="s">
        <v>334</v>
      </c>
      <c r="B21" s="40">
        <v>19</v>
      </c>
      <c r="C21" s="41">
        <v>40578</v>
      </c>
      <c r="D21" s="42">
        <v>0.97268518518518521</v>
      </c>
      <c r="E21" s="43"/>
      <c r="F21" s="44">
        <v>45.7331</v>
      </c>
      <c r="G21" s="44">
        <v>16.430299999999999</v>
      </c>
      <c r="H21" s="45">
        <v>46.038800000000002</v>
      </c>
      <c r="I21" s="45">
        <v>16.589700000000001</v>
      </c>
      <c r="J21" s="46" t="s">
        <v>15</v>
      </c>
      <c r="K21" s="46">
        <v>0.29099999999999998</v>
      </c>
      <c r="L21" s="46">
        <v>18.21</v>
      </c>
      <c r="M21" s="46">
        <v>7.0000000000000007E-2</v>
      </c>
      <c r="N21" s="46">
        <v>4.5</v>
      </c>
      <c r="O21" s="64">
        <v>50</v>
      </c>
      <c r="P21" s="47"/>
      <c r="Q21" s="46">
        <f>2*(3*O21/(4*3.1415*$K$174))^0.33333</f>
        <v>0.29824201713235454</v>
      </c>
      <c r="R21" s="46">
        <v>-13.7</v>
      </c>
      <c r="S21" s="46"/>
      <c r="T21" s="46">
        <v>31</v>
      </c>
      <c r="U21" s="46"/>
      <c r="V21" s="46">
        <v>98.1</v>
      </c>
      <c r="W21" s="46"/>
      <c r="X21" s="46">
        <v>21.8</v>
      </c>
      <c r="Y21" s="46"/>
      <c r="Z21" s="22">
        <f t="shared" si="3"/>
        <v>73.804111324916434</v>
      </c>
      <c r="AA21" s="46">
        <v>24.61</v>
      </c>
      <c r="AB21" s="46"/>
      <c r="AC21" s="145"/>
      <c r="AD21" s="145">
        <f t="shared" si="0"/>
        <v>1.9809086021505377E-3</v>
      </c>
      <c r="AE21" s="158"/>
      <c r="AF21" s="159">
        <v>-4.2</v>
      </c>
      <c r="AG21" s="159"/>
      <c r="AH21" s="160" t="s">
        <v>249</v>
      </c>
      <c r="AI21" s="161">
        <v>5.26</v>
      </c>
      <c r="AJ21" s="160"/>
      <c r="AK21" s="160"/>
      <c r="AL21" s="160"/>
      <c r="AM21" s="154">
        <f t="shared" si="4"/>
        <v>14.031199871657117</v>
      </c>
      <c r="AN21" s="160" t="s">
        <v>353</v>
      </c>
      <c r="AO21" s="160" t="s">
        <v>131</v>
      </c>
      <c r="AP21" s="48"/>
      <c r="AQ21" s="48"/>
      <c r="AR21" s="48"/>
      <c r="AS21" s="48"/>
      <c r="AT21" s="48" t="s">
        <v>335</v>
      </c>
      <c r="AU21" s="48" t="s">
        <v>302</v>
      </c>
      <c r="AV21" s="48" t="s">
        <v>336</v>
      </c>
      <c r="AW21" s="48" t="s">
        <v>317</v>
      </c>
      <c r="AX21" s="48"/>
      <c r="AY21" s="48"/>
      <c r="AZ21" s="46">
        <v>1.544</v>
      </c>
      <c r="BA21" s="46"/>
      <c r="BB21" s="46">
        <v>0.52100000000000002</v>
      </c>
      <c r="BC21" s="46"/>
      <c r="BD21" s="46">
        <v>0.64</v>
      </c>
      <c r="BE21" s="46"/>
      <c r="BF21" s="6">
        <f t="shared" si="5"/>
        <v>0.73957600000000001</v>
      </c>
      <c r="BG21" s="6">
        <f t="shared" si="6"/>
        <v>2.3484240000000001</v>
      </c>
      <c r="BH21" s="46">
        <v>254.4</v>
      </c>
      <c r="BI21" s="46"/>
      <c r="BJ21" s="46">
        <v>315.55</v>
      </c>
      <c r="BK21" s="46"/>
      <c r="BL21" s="46">
        <f t="shared" si="1"/>
        <v>4.2980347520172844</v>
      </c>
      <c r="BM21" s="46"/>
      <c r="BN21" s="46">
        <v>19</v>
      </c>
      <c r="BO21" s="222"/>
      <c r="BP21" s="49"/>
      <c r="BQ21" s="49"/>
      <c r="BR21" s="49"/>
      <c r="BS21" s="49"/>
      <c r="BU21" s="213">
        <v>0.75397999999999998</v>
      </c>
      <c r="BV21" s="213">
        <v>5.2209999999999999E-2</v>
      </c>
      <c r="BW21" s="213">
        <v>1E-4</v>
      </c>
      <c r="BX21" s="213">
        <v>1.91E-3</v>
      </c>
      <c r="BY21" s="213">
        <v>0</v>
      </c>
      <c r="BZ21" s="213">
        <v>0</v>
      </c>
      <c r="CA21" s="213">
        <v>8.0799999999999997E-2</v>
      </c>
      <c r="CB21" s="213">
        <v>2.8629999999999999E-2</v>
      </c>
      <c r="CC21" s="213">
        <v>0.16511000000000001</v>
      </c>
      <c r="CD21" s="213">
        <v>3.6470000000000002E-2</v>
      </c>
      <c r="CE21" s="213">
        <v>1.0000000000000001E-5</v>
      </c>
      <c r="CF21" s="213">
        <v>1.98E-3</v>
      </c>
      <c r="CG21" s="213">
        <v>0</v>
      </c>
      <c r="CH21" s="213">
        <v>0</v>
      </c>
      <c r="CI21" s="212">
        <f t="shared" si="7"/>
        <v>0.83477999999999997</v>
      </c>
    </row>
    <row r="22" spans="1:87" s="50" customFormat="1" ht="16.5" thickBot="1">
      <c r="A22" s="40" t="s">
        <v>80</v>
      </c>
      <c r="B22" s="40">
        <v>20</v>
      </c>
      <c r="C22" s="41">
        <v>41021</v>
      </c>
      <c r="D22" s="42">
        <v>0.61888888888888893</v>
      </c>
      <c r="E22" s="43"/>
      <c r="F22" s="44"/>
      <c r="G22" s="44"/>
      <c r="H22" s="45">
        <v>38.804000000000002</v>
      </c>
      <c r="I22" s="45">
        <v>-120.908</v>
      </c>
      <c r="J22" s="46" t="s">
        <v>93</v>
      </c>
      <c r="K22" s="46">
        <v>0.8</v>
      </c>
      <c r="L22" s="46">
        <v>28.6</v>
      </c>
      <c r="M22" s="46">
        <v>0.6</v>
      </c>
      <c r="N22" s="46" t="s">
        <v>57</v>
      </c>
      <c r="O22" s="64">
        <v>40000</v>
      </c>
      <c r="P22" s="46"/>
      <c r="Q22" s="46">
        <f>2*(3*O22/(4*3.1415*$K$175))^0.33333</f>
        <v>3.3677961605315656</v>
      </c>
      <c r="R22" s="46">
        <v>-18</v>
      </c>
      <c r="S22" s="46"/>
      <c r="T22" s="46">
        <v>48</v>
      </c>
      <c r="U22" s="46"/>
      <c r="V22" s="46">
        <v>90</v>
      </c>
      <c r="W22" s="46"/>
      <c r="X22" s="46" t="s">
        <v>95</v>
      </c>
      <c r="Y22" s="46"/>
      <c r="Z22" s="22">
        <f t="shared" si="3"/>
        <v>95.809221630644956</v>
      </c>
      <c r="AA22" s="46">
        <v>64</v>
      </c>
      <c r="AB22" s="46"/>
      <c r="AC22" s="145"/>
      <c r="AD22" s="146">
        <f t="shared" si="0"/>
        <v>3.9090083632019117</v>
      </c>
      <c r="AE22" s="162"/>
      <c r="AF22" s="159">
        <v>-5.3</v>
      </c>
      <c r="AG22" s="159"/>
      <c r="AH22" s="160" t="s">
        <v>250</v>
      </c>
      <c r="AI22" s="161">
        <v>5</v>
      </c>
      <c r="AJ22" s="160"/>
      <c r="AK22" s="160"/>
      <c r="AL22" s="160"/>
      <c r="AM22" s="154">
        <f t="shared" si="4"/>
        <v>19.161844326128993</v>
      </c>
      <c r="AN22" s="160" t="s">
        <v>91</v>
      </c>
      <c r="AO22" s="160" t="s">
        <v>134</v>
      </c>
      <c r="AP22" s="48"/>
      <c r="AQ22" s="48"/>
      <c r="AR22" s="48"/>
      <c r="AS22" s="48"/>
      <c r="AT22" s="48" t="s">
        <v>394</v>
      </c>
      <c r="AU22" s="48" t="s">
        <v>318</v>
      </c>
      <c r="AV22" s="48" t="s">
        <v>395</v>
      </c>
      <c r="AW22" s="48" t="s">
        <v>314</v>
      </c>
      <c r="AX22" s="48"/>
      <c r="AY22" s="48"/>
      <c r="AZ22" s="46">
        <v>2.59</v>
      </c>
      <c r="BA22" s="46"/>
      <c r="BB22" s="46">
        <v>0.82399999999999995</v>
      </c>
      <c r="BC22" s="46"/>
      <c r="BD22" s="46">
        <v>2.38</v>
      </c>
      <c r="BE22" s="46"/>
      <c r="BF22" s="6">
        <f t="shared" si="5"/>
        <v>0.45584000000000008</v>
      </c>
      <c r="BG22" s="6">
        <f t="shared" si="6"/>
        <v>4.7241599999999995</v>
      </c>
      <c r="BH22" s="46">
        <v>77.8</v>
      </c>
      <c r="BI22" s="46"/>
      <c r="BJ22" s="46">
        <v>32.770000000000003</v>
      </c>
      <c r="BK22" s="46"/>
      <c r="BL22" s="46">
        <f t="shared" si="1"/>
        <v>2.8067687162665882</v>
      </c>
      <c r="BM22" s="46"/>
      <c r="BN22" s="63" t="s">
        <v>369</v>
      </c>
      <c r="BO22" s="222">
        <v>8.2000000000000003E-2</v>
      </c>
      <c r="BP22" s="49"/>
      <c r="BQ22" s="49" t="s">
        <v>287</v>
      </c>
      <c r="BR22" s="49">
        <v>2310</v>
      </c>
      <c r="BS22" s="49" t="s">
        <v>287</v>
      </c>
      <c r="BU22" s="213">
        <v>0.18285999999999999</v>
      </c>
      <c r="BV22" s="213">
        <v>3.5560000000000001E-2</v>
      </c>
      <c r="BW22" s="213">
        <v>8.5999999999999998E-4</v>
      </c>
      <c r="BX22" s="213">
        <v>1.6E-2</v>
      </c>
      <c r="BY22" s="213">
        <v>7.9000000000000001E-4</v>
      </c>
      <c r="BZ22" s="213">
        <v>3.0500000000000002E-3</v>
      </c>
      <c r="CA22" s="213">
        <v>9.1999999999999998E-3</v>
      </c>
      <c r="CB22" s="213">
        <v>3.5000000000000001E-3</v>
      </c>
      <c r="CC22" s="213">
        <v>0.48297000000000001</v>
      </c>
      <c r="CD22" s="213">
        <v>8.7590000000000001E-2</v>
      </c>
      <c r="CE22" s="213">
        <v>0</v>
      </c>
      <c r="CF22" s="213">
        <v>2.9E-4</v>
      </c>
      <c r="CG22" s="213">
        <v>0.32332</v>
      </c>
      <c r="CH22" s="213">
        <v>8.7480000000000002E-2</v>
      </c>
      <c r="CI22" s="212">
        <f t="shared" si="7"/>
        <v>0.19206000000000001</v>
      </c>
    </row>
    <row r="23" spans="1:87" s="50" customFormat="1" ht="16.5" thickBot="1">
      <c r="A23" s="40" t="s">
        <v>128</v>
      </c>
      <c r="B23" s="40">
        <f>B22+1</f>
        <v>21</v>
      </c>
      <c r="C23" s="41">
        <v>41200</v>
      </c>
      <c r="D23" s="42">
        <v>0.11423495370370369</v>
      </c>
      <c r="E23" s="43">
        <v>0.7</v>
      </c>
      <c r="F23" s="44">
        <v>36.295000000000002</v>
      </c>
      <c r="G23" s="44">
        <v>-123.46299999999999</v>
      </c>
      <c r="H23" s="45">
        <v>38.121699999999997</v>
      </c>
      <c r="I23" s="45">
        <v>-122.56699999999999</v>
      </c>
      <c r="J23" s="46" t="s">
        <v>23</v>
      </c>
      <c r="K23" s="46">
        <v>0.36</v>
      </c>
      <c r="L23" s="46">
        <v>13.67</v>
      </c>
      <c r="M23" s="46">
        <v>0.12</v>
      </c>
      <c r="N23" s="46" t="s">
        <v>352</v>
      </c>
      <c r="O23" s="64">
        <v>80</v>
      </c>
      <c r="P23" s="46">
        <v>35</v>
      </c>
      <c r="Q23" s="46">
        <f>2*(3*O23/(4*3.1415*$K$174))^0.33333</f>
        <v>0.34882543285232998</v>
      </c>
      <c r="R23" s="46">
        <v>-13.8</v>
      </c>
      <c r="S23" s="46">
        <v>1</v>
      </c>
      <c r="T23" s="46">
        <v>36</v>
      </c>
      <c r="U23" s="46"/>
      <c r="V23" s="46">
        <v>94.4</v>
      </c>
      <c r="W23" s="46"/>
      <c r="X23" s="46" t="s">
        <v>349</v>
      </c>
      <c r="Y23" s="46"/>
      <c r="Z23" s="22">
        <f t="shared" si="3"/>
        <v>176.08009976282531</v>
      </c>
      <c r="AA23" s="46">
        <v>70.63</v>
      </c>
      <c r="AB23" s="46"/>
      <c r="AC23" s="145"/>
      <c r="AD23" s="145">
        <f t="shared" si="0"/>
        <v>1.7860826762246117E-3</v>
      </c>
      <c r="AE23" s="158"/>
      <c r="AF23" s="159"/>
      <c r="AG23" s="159"/>
      <c r="AH23" s="160" t="s">
        <v>57</v>
      </c>
      <c r="AI23" s="161">
        <v>18.5</v>
      </c>
      <c r="AJ23" s="160"/>
      <c r="AK23" s="160"/>
      <c r="AL23" s="160"/>
      <c r="AM23" s="154">
        <f t="shared" si="4"/>
        <v>9.5178432304229901</v>
      </c>
      <c r="AN23" s="160" t="s">
        <v>129</v>
      </c>
      <c r="AO23" s="160" t="s">
        <v>131</v>
      </c>
      <c r="AP23" s="48"/>
      <c r="AQ23" s="48"/>
      <c r="AR23" s="48"/>
      <c r="AS23" s="48"/>
      <c r="AT23" s="48" t="s">
        <v>331</v>
      </c>
      <c r="AU23" s="48" t="s">
        <v>310</v>
      </c>
      <c r="AV23" s="48" t="s">
        <v>332</v>
      </c>
      <c r="AW23" s="48" t="s">
        <v>319</v>
      </c>
      <c r="AX23" s="48"/>
      <c r="AY23" s="48"/>
      <c r="AZ23" s="46">
        <v>2.09</v>
      </c>
      <c r="BA23" s="46"/>
      <c r="BB23" s="46">
        <v>0.52600000000000002</v>
      </c>
      <c r="BC23" s="46"/>
      <c r="BD23" s="46">
        <v>5.5</v>
      </c>
      <c r="BE23" s="46"/>
      <c r="BF23" s="6">
        <f t="shared" si="5"/>
        <v>0.99065999999999987</v>
      </c>
      <c r="BG23" s="6">
        <f t="shared" si="6"/>
        <v>3.1893399999999996</v>
      </c>
      <c r="BH23" s="46">
        <v>347.37</v>
      </c>
      <c r="BI23" s="46"/>
      <c r="BJ23" s="46">
        <v>24.940999999999999</v>
      </c>
      <c r="BK23" s="46"/>
      <c r="BL23" s="46">
        <f t="shared" si="1"/>
        <v>3.5614439409711856</v>
      </c>
      <c r="BM23" s="46"/>
      <c r="BN23" s="63">
        <v>21</v>
      </c>
      <c r="BO23" s="222">
        <v>9</v>
      </c>
      <c r="BP23" s="49">
        <v>1</v>
      </c>
      <c r="BQ23" s="49">
        <v>21</v>
      </c>
      <c r="BR23" s="49">
        <v>3400</v>
      </c>
      <c r="BS23" s="49">
        <v>21</v>
      </c>
      <c r="BU23" s="213">
        <v>0.84955000000000003</v>
      </c>
      <c r="BV23" s="213">
        <v>3.8210000000000001E-2</v>
      </c>
      <c r="BW23" s="213">
        <v>6.9999999999999994E-5</v>
      </c>
      <c r="BX23" s="213">
        <v>1.3500000000000001E-3</v>
      </c>
      <c r="BY23" s="213">
        <v>1.0000000000000001E-5</v>
      </c>
      <c r="BZ23" s="213">
        <v>2.0000000000000002E-5</v>
      </c>
      <c r="CA23" s="213">
        <v>6.8580000000000002E-2</v>
      </c>
      <c r="CB23" s="213">
        <v>2.564E-2</v>
      </c>
      <c r="CC23" s="213">
        <v>8.1659999999999996E-2</v>
      </c>
      <c r="CD23" s="213">
        <v>2.018E-2</v>
      </c>
      <c r="CE23" s="213">
        <v>0</v>
      </c>
      <c r="CF23" s="213">
        <v>3.5E-4</v>
      </c>
      <c r="CG23" s="213">
        <v>1.2999999999999999E-4</v>
      </c>
      <c r="CH23" s="213">
        <v>5.0000000000000002E-5</v>
      </c>
      <c r="CI23" s="212">
        <f t="shared" si="7"/>
        <v>0.91813</v>
      </c>
    </row>
    <row r="24" spans="1:87" ht="16.5" thickBot="1">
      <c r="A24" s="67" t="s">
        <v>236</v>
      </c>
      <c r="B24" s="67">
        <v>22</v>
      </c>
      <c r="C24" s="5">
        <v>41320</v>
      </c>
      <c r="D24" s="38">
        <v>0.13913194444444446</v>
      </c>
      <c r="E24" s="39"/>
      <c r="F24" s="37">
        <v>54.454000000000001</v>
      </c>
      <c r="G24" s="37">
        <v>64.477000000000004</v>
      </c>
      <c r="H24" s="20">
        <v>54.8</v>
      </c>
      <c r="I24" s="20">
        <v>61.2</v>
      </c>
      <c r="J24" s="6" t="s">
        <v>237</v>
      </c>
      <c r="K24" s="6" t="s">
        <v>238</v>
      </c>
      <c r="L24" s="6">
        <v>19.03</v>
      </c>
      <c r="M24" s="6">
        <v>0.13</v>
      </c>
      <c r="N24" s="6">
        <v>3.2</v>
      </c>
      <c r="O24" s="65">
        <v>12000000</v>
      </c>
      <c r="P24" s="11"/>
      <c r="Q24" s="6">
        <f>2*(3*O24/(4*3.1415*$K$174))^0.33333</f>
        <v>18.533380460285631</v>
      </c>
      <c r="R24" s="6">
        <v>-28</v>
      </c>
      <c r="S24" s="6"/>
      <c r="T24" s="6">
        <v>30</v>
      </c>
      <c r="U24" s="6"/>
      <c r="V24" s="6">
        <v>95.1</v>
      </c>
      <c r="W24" s="6"/>
      <c r="X24" s="6">
        <v>12.6</v>
      </c>
      <c r="Y24" s="6"/>
      <c r="Z24" s="22">
        <f t="shared" si="3"/>
        <v>222.66174982267239</v>
      </c>
      <c r="AA24" s="6">
        <v>73</v>
      </c>
      <c r="AB24" s="6"/>
      <c r="AC24" s="147"/>
      <c r="AD24" s="147">
        <v>500</v>
      </c>
      <c r="AE24" s="163"/>
      <c r="AF24" s="151">
        <v>-4.8</v>
      </c>
      <c r="AG24" s="151"/>
      <c r="AH24" s="155" t="s">
        <v>250</v>
      </c>
      <c r="AI24" s="156">
        <v>16.8</v>
      </c>
      <c r="AJ24" s="155"/>
      <c r="AK24" s="155"/>
      <c r="AL24" s="155"/>
      <c r="AM24" s="154">
        <f t="shared" si="4"/>
        <v>13.253675584682879</v>
      </c>
      <c r="AN24" s="155" t="s">
        <v>85</v>
      </c>
      <c r="AO24" s="155" t="s">
        <v>134</v>
      </c>
      <c r="AP24" s="7"/>
      <c r="AQ24" s="7"/>
      <c r="AR24" s="7"/>
      <c r="AS24" s="7"/>
      <c r="AT24" s="7" t="s">
        <v>243</v>
      </c>
      <c r="AU24" s="7" t="s">
        <v>328</v>
      </c>
      <c r="AV24" s="7" t="s">
        <v>244</v>
      </c>
      <c r="AW24" s="7" t="s">
        <v>333</v>
      </c>
      <c r="AX24" s="7"/>
      <c r="AY24" s="7"/>
      <c r="AZ24" s="6">
        <v>1.72</v>
      </c>
      <c r="BA24" s="6"/>
      <c r="BB24" s="6">
        <v>0.57099999999999995</v>
      </c>
      <c r="BC24" s="6"/>
      <c r="BD24" s="6">
        <v>4.9800000000000004</v>
      </c>
      <c r="BE24" s="6"/>
      <c r="BF24" s="6">
        <f t="shared" si="5"/>
        <v>0.73788000000000009</v>
      </c>
      <c r="BG24" s="6">
        <f t="shared" si="6"/>
        <v>2.7021199999999999</v>
      </c>
      <c r="BH24" s="6">
        <v>107.67</v>
      </c>
      <c r="BI24" s="6"/>
      <c r="BJ24" s="6">
        <v>326.459</v>
      </c>
      <c r="BK24" s="6"/>
      <c r="BL24" s="6">
        <f t="shared" si="1"/>
        <v>3.9639896142397744</v>
      </c>
      <c r="BM24" s="6"/>
      <c r="BN24" s="6" t="s">
        <v>368</v>
      </c>
      <c r="BO24" s="222">
        <v>1.2</v>
      </c>
      <c r="BP24" s="33"/>
      <c r="BQ24" s="33">
        <v>35</v>
      </c>
      <c r="BR24" s="33">
        <v>3220</v>
      </c>
      <c r="BS24" s="33"/>
      <c r="BU24" s="211">
        <v>0.79527000000000003</v>
      </c>
      <c r="BV24" s="211">
        <v>4.648E-2</v>
      </c>
      <c r="BW24" s="211">
        <v>1E-4</v>
      </c>
      <c r="BX24" s="211">
        <v>1.82E-3</v>
      </c>
      <c r="BY24" s="211">
        <v>5.0000000000000002E-5</v>
      </c>
      <c r="BZ24" s="211">
        <v>1.9000000000000001E-4</v>
      </c>
      <c r="CA24" s="211">
        <v>7.4719999999999995E-2</v>
      </c>
      <c r="CB24" s="211">
        <v>2.7089999999999999E-2</v>
      </c>
      <c r="CC24" s="211">
        <v>0.12986</v>
      </c>
      <c r="CD24" s="211">
        <v>3.0120000000000001E-2</v>
      </c>
      <c r="CE24" s="211">
        <v>1.0000000000000001E-5</v>
      </c>
      <c r="CF24" s="211">
        <v>1.9E-3</v>
      </c>
      <c r="CG24" s="211">
        <v>0</v>
      </c>
      <c r="CH24" s="211">
        <v>0</v>
      </c>
      <c r="CI24" s="212">
        <f t="shared" si="7"/>
        <v>0.86999000000000004</v>
      </c>
    </row>
    <row r="25" spans="1:87" s="62" customFormat="1" ht="16.5" thickBot="1">
      <c r="A25" s="51" t="s">
        <v>338</v>
      </c>
      <c r="B25" s="51">
        <v>23</v>
      </c>
      <c r="C25" s="52">
        <v>41747</v>
      </c>
      <c r="D25" s="53">
        <v>0.9264965277777778</v>
      </c>
      <c r="E25" s="54">
        <v>0.1</v>
      </c>
      <c r="F25" s="55"/>
      <c r="G25" s="55"/>
      <c r="H25" s="56">
        <v>68.774910000000006</v>
      </c>
      <c r="I25" s="56">
        <v>30.78726</v>
      </c>
      <c r="J25" s="57" t="s">
        <v>10</v>
      </c>
      <c r="K25" s="57">
        <v>0.16800000000000001</v>
      </c>
      <c r="L25" s="57">
        <v>24.2</v>
      </c>
      <c r="M25" s="57">
        <v>0.5</v>
      </c>
      <c r="N25" s="57"/>
      <c r="O25" s="66">
        <v>472</v>
      </c>
      <c r="P25" s="58"/>
      <c r="Q25" s="57">
        <f>2*(3*O25/(4*3.1415*$K$174))^0.33333</f>
        <v>0.63031296872899834</v>
      </c>
      <c r="R25" s="57">
        <v>-18.3</v>
      </c>
      <c r="S25" s="57"/>
      <c r="T25" s="57">
        <v>34.6</v>
      </c>
      <c r="U25" s="57"/>
      <c r="V25" s="57">
        <v>83.9</v>
      </c>
      <c r="W25" s="57"/>
      <c r="X25" s="57">
        <v>21.8</v>
      </c>
      <c r="Y25" s="57"/>
      <c r="Z25" s="22">
        <f t="shared" si="3"/>
        <v>89.087010492733214</v>
      </c>
      <c r="AA25" s="57">
        <v>56.4</v>
      </c>
      <c r="AB25" s="57"/>
      <c r="AC25" s="249"/>
      <c r="AD25" s="145">
        <f t="shared" ref="AD25:AD30" si="8">0.5*O25*(L25*1000)^2/(4185000000000)</f>
        <v>3.3025338112305853E-2</v>
      </c>
      <c r="AE25" s="164"/>
      <c r="AF25" s="165">
        <v>-4.2</v>
      </c>
      <c r="AG25" s="165"/>
      <c r="AH25" s="166" t="s">
        <v>249</v>
      </c>
      <c r="AI25" s="167"/>
      <c r="AJ25" s="166"/>
      <c r="AK25" s="166"/>
      <c r="AL25" s="166"/>
      <c r="AM25" s="154"/>
      <c r="AN25" s="166" t="s">
        <v>348</v>
      </c>
      <c r="AO25" s="166" t="s">
        <v>131</v>
      </c>
      <c r="AP25" s="60"/>
      <c r="AQ25" s="60"/>
      <c r="AR25" s="60"/>
      <c r="AS25" s="60"/>
      <c r="AT25" s="60" t="s">
        <v>339</v>
      </c>
      <c r="AU25" s="60" t="s">
        <v>311</v>
      </c>
      <c r="AV25" s="60" t="s">
        <v>340</v>
      </c>
      <c r="AW25" s="60" t="s">
        <v>308</v>
      </c>
      <c r="AX25" s="60"/>
      <c r="AY25" s="60"/>
      <c r="AZ25" s="57">
        <v>1.99</v>
      </c>
      <c r="BA25" s="57"/>
      <c r="BB25" s="57">
        <v>0.69</v>
      </c>
      <c r="BC25" s="57"/>
      <c r="BD25" s="57">
        <v>14.7</v>
      </c>
      <c r="BE25" s="57"/>
      <c r="BF25" s="6">
        <f t="shared" si="5"/>
        <v>0.61690000000000011</v>
      </c>
      <c r="BG25" s="6">
        <f t="shared" si="6"/>
        <v>3.3630999999999998</v>
      </c>
      <c r="BH25" s="57">
        <v>264.8</v>
      </c>
      <c r="BI25" s="57"/>
      <c r="BJ25" s="57">
        <v>28.611000000000001</v>
      </c>
      <c r="BK25" s="57"/>
      <c r="BL25" s="57">
        <f t="shared" si="1"/>
        <v>3.479280468370491</v>
      </c>
      <c r="BM25" s="57"/>
      <c r="BN25" s="57">
        <v>23</v>
      </c>
      <c r="BO25" s="223">
        <v>30</v>
      </c>
      <c r="BP25" s="61">
        <v>4</v>
      </c>
      <c r="BQ25" s="61" t="s">
        <v>372</v>
      </c>
      <c r="BR25" s="61">
        <v>3500</v>
      </c>
      <c r="BS25" s="61" t="s">
        <v>372</v>
      </c>
      <c r="BU25" s="214">
        <v>0.67610000000000003</v>
      </c>
      <c r="BV25" s="214">
        <v>5.919E-2</v>
      </c>
      <c r="BW25" s="214">
        <v>7.1000000000000002E-4</v>
      </c>
      <c r="BX25" s="214">
        <v>1.2930000000000001E-2</v>
      </c>
      <c r="BY25" s="214">
        <v>1.08E-3</v>
      </c>
      <c r="BZ25" s="214">
        <v>4.0699999999999998E-3</v>
      </c>
      <c r="CA25" s="214">
        <v>8.2710000000000006E-2</v>
      </c>
      <c r="CB25" s="214">
        <v>2.8330000000000001E-2</v>
      </c>
      <c r="CC25" s="214">
        <v>0.23730000000000001</v>
      </c>
      <c r="CD25" s="214">
        <v>4.7989999999999998E-2</v>
      </c>
      <c r="CE25" s="214">
        <v>3.0000000000000001E-5</v>
      </c>
      <c r="CF25" s="214">
        <v>7.6600000000000001E-3</v>
      </c>
      <c r="CG25" s="214">
        <v>2.0699999999999998E-3</v>
      </c>
      <c r="CH25" s="214">
        <v>7.3999999999999999E-4</v>
      </c>
      <c r="CI25" s="212">
        <f t="shared" si="7"/>
        <v>0.75880999999999998</v>
      </c>
    </row>
    <row r="26" spans="1:87" s="95" customFormat="1" ht="16.5" thickBot="1">
      <c r="A26" s="82" t="s">
        <v>355</v>
      </c>
      <c r="B26" s="82">
        <v>24</v>
      </c>
      <c r="C26" s="83">
        <v>41982</v>
      </c>
      <c r="D26" s="84">
        <v>0.67829861111111101</v>
      </c>
      <c r="E26" s="85"/>
      <c r="F26" s="86">
        <v>49.9405</v>
      </c>
      <c r="G26" s="86">
        <v>18.001290000000001</v>
      </c>
      <c r="H26" s="87">
        <v>49.521999999999998</v>
      </c>
      <c r="I26" s="86">
        <v>16.033000000000001</v>
      </c>
      <c r="J26" s="88" t="s">
        <v>357</v>
      </c>
      <c r="K26" s="88">
        <v>8.6999999999999994E-2</v>
      </c>
      <c r="L26" s="88">
        <v>21.89</v>
      </c>
      <c r="M26" s="88">
        <v>0.02</v>
      </c>
      <c r="N26" s="88">
        <v>4.8</v>
      </c>
      <c r="O26" s="89">
        <v>150</v>
      </c>
      <c r="P26" s="90">
        <v>20</v>
      </c>
      <c r="Q26" s="88">
        <f>2*(3*O26/(4*3.1415*$K$174))^0.33333</f>
        <v>0.43013784587145792</v>
      </c>
      <c r="R26" s="88">
        <v>-15.26</v>
      </c>
      <c r="S26" s="88">
        <v>0.1</v>
      </c>
      <c r="T26" s="88">
        <v>37.39</v>
      </c>
      <c r="U26" s="88"/>
      <c r="V26" s="88">
        <v>98.06</v>
      </c>
      <c r="W26" s="88">
        <v>0.02</v>
      </c>
      <c r="X26" s="88">
        <v>24.71</v>
      </c>
      <c r="Y26" s="88">
        <v>0.02</v>
      </c>
      <c r="Z26" s="129">
        <f t="shared" si="3"/>
        <v>67.521689406646431</v>
      </c>
      <c r="AA26" s="88">
        <v>26.035</v>
      </c>
      <c r="AB26" s="88">
        <v>4.0000000000000001E-3</v>
      </c>
      <c r="AC26" s="250"/>
      <c r="AD26" s="148">
        <f t="shared" si="8"/>
        <v>8.5873136200716842E-3</v>
      </c>
      <c r="AE26" s="168"/>
      <c r="AF26" s="169">
        <v>-4.4000000000000004</v>
      </c>
      <c r="AG26" s="169"/>
      <c r="AH26" s="170" t="s">
        <v>249</v>
      </c>
      <c r="AI26" s="171">
        <v>9.16</v>
      </c>
      <c r="AJ26" s="170"/>
      <c r="AK26" s="170"/>
      <c r="AL26" s="170"/>
      <c r="AM26" s="172">
        <f t="shared" si="4"/>
        <v>7.3713634723413133</v>
      </c>
      <c r="AN26" s="170" t="s">
        <v>356</v>
      </c>
      <c r="AO26" s="170" t="s">
        <v>131</v>
      </c>
      <c r="AP26" s="93" t="s">
        <v>449</v>
      </c>
      <c r="AQ26" s="93" t="s">
        <v>450</v>
      </c>
      <c r="AR26" s="93" t="s">
        <v>451</v>
      </c>
      <c r="AS26" s="93" t="s">
        <v>450</v>
      </c>
      <c r="AT26" s="93" t="s">
        <v>452</v>
      </c>
      <c r="AU26" s="93" t="s">
        <v>299</v>
      </c>
      <c r="AV26" s="93" t="s">
        <v>453</v>
      </c>
      <c r="AW26" s="93" t="s">
        <v>454</v>
      </c>
      <c r="AX26" s="93" t="s">
        <v>471</v>
      </c>
      <c r="AY26" s="93" t="s">
        <v>473</v>
      </c>
      <c r="AZ26" s="88">
        <v>2.093</v>
      </c>
      <c r="BA26" s="88">
        <v>6.0000000000000001E-3</v>
      </c>
      <c r="BB26" s="88">
        <v>0.67920000000000003</v>
      </c>
      <c r="BC26" s="88">
        <v>1E-3</v>
      </c>
      <c r="BD26" s="88">
        <v>2.7959999999999998</v>
      </c>
      <c r="BE26" s="88">
        <v>8.9999999999999993E-3</v>
      </c>
      <c r="BF26" s="6">
        <f t="shared" si="5"/>
        <v>0.67143439999999999</v>
      </c>
      <c r="BG26" s="6">
        <f t="shared" si="6"/>
        <v>3.5145656000000001</v>
      </c>
      <c r="BH26" s="88">
        <v>257.721</v>
      </c>
      <c r="BI26" s="88">
        <v>1.4E-2</v>
      </c>
      <c r="BJ26" s="88">
        <v>257.262</v>
      </c>
      <c r="BK26" s="88">
        <v>0.01</v>
      </c>
      <c r="BL26" s="91">
        <f t="shared" si="1"/>
        <v>3.41464566132117</v>
      </c>
      <c r="BM26" s="88"/>
      <c r="BN26" s="88">
        <v>24</v>
      </c>
      <c r="BO26" s="223"/>
      <c r="BP26" s="94"/>
      <c r="BQ26" s="94"/>
      <c r="BR26" s="94">
        <v>3050</v>
      </c>
      <c r="BS26" s="94">
        <v>24</v>
      </c>
      <c r="BU26" s="215">
        <v>0.74502999999999997</v>
      </c>
      <c r="BV26" s="215">
        <v>5.1639999999999998E-2</v>
      </c>
      <c r="BW26" s="215">
        <v>1.7000000000000001E-4</v>
      </c>
      <c r="BX26" s="215">
        <v>3.14E-3</v>
      </c>
      <c r="BY26" s="215">
        <v>0</v>
      </c>
      <c r="BZ26" s="215">
        <v>0</v>
      </c>
      <c r="CA26" s="215">
        <v>5.2940000000000001E-2</v>
      </c>
      <c r="CB26" s="215">
        <v>1.9259999999999999E-2</v>
      </c>
      <c r="CC26" s="215">
        <v>0.19649</v>
      </c>
      <c r="CD26" s="215">
        <v>4.2659999999999997E-2</v>
      </c>
      <c r="CE26" s="215">
        <v>0</v>
      </c>
      <c r="CF26" s="215">
        <v>4.4000000000000002E-4</v>
      </c>
      <c r="CG26" s="215">
        <v>5.3699999999999998E-3</v>
      </c>
      <c r="CH26" s="215">
        <v>1.9300000000000001E-3</v>
      </c>
      <c r="CI26" s="212">
        <f t="shared" si="7"/>
        <v>0.79796999999999996</v>
      </c>
    </row>
    <row r="27" spans="1:87" s="140" customFormat="1" ht="16.5" thickBot="1">
      <c r="A27" s="130" t="s">
        <v>343</v>
      </c>
      <c r="B27" s="130">
        <v>25</v>
      </c>
      <c r="C27" s="131">
        <v>42335</v>
      </c>
      <c r="D27" s="132">
        <v>0.4470486111111111</v>
      </c>
      <c r="E27" s="133"/>
      <c r="F27" s="134">
        <v>-29.295829999999999</v>
      </c>
      <c r="G27" s="134">
        <v>137.20840999999999</v>
      </c>
      <c r="H27" s="135">
        <v>-29.26089</v>
      </c>
      <c r="I27" s="134">
        <v>137.53765000000001</v>
      </c>
      <c r="J27" s="91" t="s">
        <v>10</v>
      </c>
      <c r="K27" s="91">
        <v>1.68</v>
      </c>
      <c r="L27" s="91">
        <v>13.68</v>
      </c>
      <c r="M27" s="91">
        <v>0.09</v>
      </c>
      <c r="N27" s="91">
        <v>3.28</v>
      </c>
      <c r="O27" s="136">
        <v>38</v>
      </c>
      <c r="P27" s="137"/>
      <c r="Q27" s="91"/>
      <c r="R27" s="91"/>
      <c r="S27" s="91"/>
      <c r="T27" s="91"/>
      <c r="U27" s="91"/>
      <c r="V27" s="91">
        <v>84.97</v>
      </c>
      <c r="W27" s="91">
        <v>0.02</v>
      </c>
      <c r="X27" s="91">
        <v>17.96</v>
      </c>
      <c r="Y27" s="91">
        <v>0.04</v>
      </c>
      <c r="Z27" s="129">
        <f t="shared" si="3"/>
        <v>91.324586626245178</v>
      </c>
      <c r="AA27" s="91">
        <v>21.5</v>
      </c>
      <c r="AB27" s="91"/>
      <c r="AC27" s="148"/>
      <c r="AD27" s="148">
        <f t="shared" si="8"/>
        <v>8.4963096774193551E-4</v>
      </c>
      <c r="AE27" s="173"/>
      <c r="AF27" s="174"/>
      <c r="AG27" s="174"/>
      <c r="AH27" s="175"/>
      <c r="AI27" s="176">
        <v>6.1</v>
      </c>
      <c r="AJ27" s="175"/>
      <c r="AK27" s="175"/>
      <c r="AL27" s="175"/>
      <c r="AM27" s="172">
        <f t="shared" si="4"/>
        <v>14.971243709220522</v>
      </c>
      <c r="AN27" s="175" t="s">
        <v>346</v>
      </c>
      <c r="AO27" s="175" t="s">
        <v>131</v>
      </c>
      <c r="AP27" s="138" t="s">
        <v>443</v>
      </c>
      <c r="AQ27" s="138" t="s">
        <v>299</v>
      </c>
      <c r="AR27" s="138" t="s">
        <v>444</v>
      </c>
      <c r="AS27" s="138" t="s">
        <v>299</v>
      </c>
      <c r="AT27" s="138" t="s">
        <v>445</v>
      </c>
      <c r="AU27" s="138" t="s">
        <v>446</v>
      </c>
      <c r="AV27" s="138" t="s">
        <v>447</v>
      </c>
      <c r="AW27" s="138" t="s">
        <v>448</v>
      </c>
      <c r="AX27" s="138" t="s">
        <v>474</v>
      </c>
      <c r="AY27" s="138" t="s">
        <v>475</v>
      </c>
      <c r="AZ27" s="91">
        <v>2.5209999999999999</v>
      </c>
      <c r="BA27" s="91">
        <v>7.4999999999999997E-2</v>
      </c>
      <c r="BB27" s="91">
        <v>0.60899999999999999</v>
      </c>
      <c r="BC27" s="91">
        <v>1.2E-2</v>
      </c>
      <c r="BD27" s="91">
        <v>3.32</v>
      </c>
      <c r="BE27" s="91">
        <v>0.06</v>
      </c>
      <c r="BF27" s="6">
        <f t="shared" si="5"/>
        <v>0.985711</v>
      </c>
      <c r="BG27" s="6">
        <f t="shared" si="6"/>
        <v>4.0562889999999996</v>
      </c>
      <c r="BH27" s="91">
        <v>354.55700000000002</v>
      </c>
      <c r="BI27" s="91">
        <v>3.9E-2</v>
      </c>
      <c r="BJ27" s="91">
        <v>64.742000000000004</v>
      </c>
      <c r="BK27" s="91">
        <v>3.3E-3</v>
      </c>
      <c r="BL27" s="91">
        <f t="shared" si="1"/>
        <v>3.1653589876052726</v>
      </c>
      <c r="BM27" s="91"/>
      <c r="BN27" s="91">
        <v>25</v>
      </c>
      <c r="BO27" s="222">
        <v>6.9</v>
      </c>
      <c r="BP27" s="139">
        <v>0.8</v>
      </c>
      <c r="BQ27" s="139">
        <v>48</v>
      </c>
      <c r="BR27" s="139">
        <v>3470</v>
      </c>
      <c r="BS27" s="139" t="s">
        <v>373</v>
      </c>
      <c r="BU27" s="216">
        <v>0.20616999999999999</v>
      </c>
      <c r="BV27" s="216">
        <v>4.2360000000000002E-2</v>
      </c>
      <c r="BW27" s="216">
        <v>9.3999999999999997E-4</v>
      </c>
      <c r="BX27" s="216">
        <v>1.7569999999999999E-2</v>
      </c>
      <c r="BY27" s="216">
        <v>4.8000000000000001E-4</v>
      </c>
      <c r="BZ27" s="216">
        <v>1.8699999999999999E-3</v>
      </c>
      <c r="CA27" s="216">
        <v>9.7800000000000005E-3</v>
      </c>
      <c r="CB27" s="216">
        <v>3.5400000000000002E-3</v>
      </c>
      <c r="CC27" s="216">
        <v>0.65098</v>
      </c>
      <c r="CD27" s="216">
        <v>7.3660000000000003E-2</v>
      </c>
      <c r="CE27" s="216">
        <v>0</v>
      </c>
      <c r="CF27" s="216">
        <v>2.3000000000000001E-4</v>
      </c>
      <c r="CG27" s="216">
        <v>0.13164000000000001</v>
      </c>
      <c r="CH27" s="216">
        <v>4.6260000000000003E-2</v>
      </c>
      <c r="CI27" s="212">
        <f t="shared" si="7"/>
        <v>0.21595</v>
      </c>
    </row>
    <row r="28" spans="1:87" s="142" customFormat="1" ht="16.5" thickBot="1">
      <c r="A28" s="130" t="s">
        <v>376</v>
      </c>
      <c r="B28" s="130">
        <v>26</v>
      </c>
      <c r="C28" s="131">
        <v>42406</v>
      </c>
      <c r="D28" s="132">
        <v>0.88006944444444446</v>
      </c>
      <c r="E28" s="133"/>
      <c r="F28" s="134">
        <v>55.449199999999998</v>
      </c>
      <c r="G28" s="134">
        <v>11.9116</v>
      </c>
      <c r="H28" s="135">
        <v>55.7</v>
      </c>
      <c r="I28" s="134">
        <v>12.4</v>
      </c>
      <c r="J28" s="91" t="s">
        <v>377</v>
      </c>
      <c r="K28" s="91">
        <v>8.94</v>
      </c>
      <c r="L28" s="91">
        <v>14.52</v>
      </c>
      <c r="M28" s="91">
        <v>0.1</v>
      </c>
      <c r="N28" s="91"/>
      <c r="O28" s="136">
        <v>250</v>
      </c>
      <c r="P28" s="137">
        <v>100</v>
      </c>
      <c r="Q28" s="91">
        <f t="shared" ref="Q28:Q34" si="9">2*(3*O28/(4*3.1415*$K$174))^0.33333</f>
        <v>0.50998393961903621</v>
      </c>
      <c r="R28" s="91">
        <v>-14</v>
      </c>
      <c r="S28" s="91"/>
      <c r="T28" s="91">
        <v>28</v>
      </c>
      <c r="U28" s="91"/>
      <c r="V28" s="91">
        <v>85.53</v>
      </c>
      <c r="W28" s="91">
        <v>0.02</v>
      </c>
      <c r="X28" s="91">
        <v>18.28</v>
      </c>
      <c r="Y28" s="91">
        <v>0.05</v>
      </c>
      <c r="Z28" s="129">
        <f t="shared" si="3"/>
        <v>65.11450458726091</v>
      </c>
      <c r="AA28" s="91">
        <v>27.93</v>
      </c>
      <c r="AB28" s="91"/>
      <c r="AC28" s="148"/>
      <c r="AD28" s="148">
        <f t="shared" si="8"/>
        <v>6.2972043010752687E-3</v>
      </c>
      <c r="AE28" s="173"/>
      <c r="AF28" s="174">
        <v>-4.43</v>
      </c>
      <c r="AG28" s="174"/>
      <c r="AH28" s="175" t="s">
        <v>249</v>
      </c>
      <c r="AI28" s="176">
        <v>5</v>
      </c>
      <c r="AJ28" s="175"/>
      <c r="AK28" s="175"/>
      <c r="AL28" s="175"/>
      <c r="AM28" s="172">
        <f t="shared" si="4"/>
        <v>13.022900917452182</v>
      </c>
      <c r="AN28" s="175" t="s">
        <v>378</v>
      </c>
      <c r="AO28" s="175" t="s">
        <v>131</v>
      </c>
      <c r="AP28" s="138" t="s">
        <v>476</v>
      </c>
      <c r="AQ28" s="138" t="s">
        <v>302</v>
      </c>
      <c r="AR28" s="138" t="s">
        <v>477</v>
      </c>
      <c r="AS28" s="138" t="s">
        <v>467</v>
      </c>
      <c r="AT28" s="138" t="s">
        <v>381</v>
      </c>
      <c r="AU28" s="138" t="s">
        <v>382</v>
      </c>
      <c r="AV28" s="138" t="s">
        <v>383</v>
      </c>
      <c r="AW28" s="138" t="s">
        <v>384</v>
      </c>
      <c r="AX28" s="138" t="s">
        <v>478</v>
      </c>
      <c r="AY28" s="138" t="s">
        <v>427</v>
      </c>
      <c r="AZ28" s="91">
        <v>2.81</v>
      </c>
      <c r="BA28" s="91">
        <v>0.09</v>
      </c>
      <c r="BB28" s="91">
        <v>0.65500000000000003</v>
      </c>
      <c r="BC28" s="91">
        <v>1.0999999999999999E-2</v>
      </c>
      <c r="BD28" s="91">
        <v>0.96</v>
      </c>
      <c r="BE28" s="91">
        <v>0.1</v>
      </c>
      <c r="BF28" s="6">
        <f t="shared" si="5"/>
        <v>0.96944999999999992</v>
      </c>
      <c r="BG28" s="6">
        <f t="shared" si="6"/>
        <v>4.65055</v>
      </c>
      <c r="BH28" s="91">
        <v>197.75</v>
      </c>
      <c r="BI28" s="91">
        <v>0.1</v>
      </c>
      <c r="BJ28" s="91">
        <v>317.21100000000001</v>
      </c>
      <c r="BK28" s="91"/>
      <c r="BL28" s="91">
        <f t="shared" si="1"/>
        <v>2.9613164041258067</v>
      </c>
      <c r="BM28" s="91">
        <v>0.05</v>
      </c>
      <c r="BN28" s="91">
        <v>26</v>
      </c>
      <c r="BO28" s="224">
        <v>83</v>
      </c>
      <c r="BP28" s="141">
        <v>11</v>
      </c>
      <c r="BQ28" s="141">
        <v>47</v>
      </c>
      <c r="BR28" s="141"/>
      <c r="BS28" s="141"/>
      <c r="BU28" s="217">
        <v>2.2429999999999999E-2</v>
      </c>
      <c r="BV28" s="217">
        <v>9.9100000000000004E-3</v>
      </c>
      <c r="BW28" s="217">
        <v>3.8300000000000001E-3</v>
      </c>
      <c r="BX28" s="217">
        <v>6.0850000000000001E-2</v>
      </c>
      <c r="BY28" s="217">
        <v>6.2E-4</v>
      </c>
      <c r="BZ28" s="217">
        <v>3.0699999999999998E-3</v>
      </c>
      <c r="CA28" s="217">
        <v>1.0300000000000001E-3</v>
      </c>
      <c r="CB28" s="217">
        <v>7.1000000000000002E-4</v>
      </c>
      <c r="CC28" s="217">
        <v>6.9599999999999995E-2</v>
      </c>
      <c r="CD28" s="217">
        <v>3.8080000000000003E-2</v>
      </c>
      <c r="CE28" s="217">
        <v>0</v>
      </c>
      <c r="CF28" s="217">
        <v>4.0000000000000003E-5</v>
      </c>
      <c r="CG28" s="217">
        <v>0.90249000000000001</v>
      </c>
      <c r="CH28" s="217">
        <v>7.6539999999999997E-2</v>
      </c>
      <c r="CI28" s="212">
        <f t="shared" si="7"/>
        <v>2.3459999999999998E-2</v>
      </c>
    </row>
    <row r="29" spans="1:87" s="95" customFormat="1" ht="16.5" thickBot="1">
      <c r="A29" s="82" t="s">
        <v>359</v>
      </c>
      <c r="B29" s="82">
        <v>27</v>
      </c>
      <c r="C29" s="83">
        <v>42435</v>
      </c>
      <c r="D29" s="84">
        <v>0.89989583333333334</v>
      </c>
      <c r="E29" s="85"/>
      <c r="F29" s="86"/>
      <c r="G29" s="86"/>
      <c r="H29" s="87">
        <v>48.305999999999997</v>
      </c>
      <c r="I29" s="86">
        <v>13.093</v>
      </c>
      <c r="J29" s="88" t="s">
        <v>360</v>
      </c>
      <c r="K29" s="88">
        <v>1.4730000000000001</v>
      </c>
      <c r="L29" s="88">
        <v>13.91</v>
      </c>
      <c r="M29" s="88"/>
      <c r="N29" s="88"/>
      <c r="O29" s="89">
        <v>450</v>
      </c>
      <c r="P29" s="90"/>
      <c r="Q29" s="88">
        <f t="shared" si="9"/>
        <v>0.62036385157906881</v>
      </c>
      <c r="R29" s="88">
        <v>-15.4</v>
      </c>
      <c r="S29" s="88"/>
      <c r="T29" s="88"/>
      <c r="U29" s="88"/>
      <c r="V29" s="88">
        <v>86</v>
      </c>
      <c r="W29" s="88"/>
      <c r="X29" s="88">
        <v>17.600000000000001</v>
      </c>
      <c r="Y29" s="88"/>
      <c r="Z29" s="129">
        <f t="shared" si="3"/>
        <v>91.519288234584891</v>
      </c>
      <c r="AA29" s="88">
        <v>20</v>
      </c>
      <c r="AB29" s="88">
        <v>19.600000000000001</v>
      </c>
      <c r="AC29" s="250"/>
      <c r="AD29" s="148">
        <f t="shared" si="8"/>
        <v>1.0402586021505376E-2</v>
      </c>
      <c r="AE29" s="168"/>
      <c r="AF29" s="169">
        <v>-4.5999999999999996</v>
      </c>
      <c r="AG29" s="169"/>
      <c r="AH29" s="170" t="s">
        <v>249</v>
      </c>
      <c r="AI29" s="171">
        <v>5.5</v>
      </c>
      <c r="AJ29" s="170"/>
      <c r="AK29" s="170"/>
      <c r="AL29" s="170"/>
      <c r="AM29" s="172">
        <f t="shared" si="4"/>
        <v>16.639870588106344</v>
      </c>
      <c r="AN29" s="170" t="s">
        <v>370</v>
      </c>
      <c r="AO29" s="170" t="s">
        <v>131</v>
      </c>
      <c r="AP29" s="93"/>
      <c r="AQ29" s="93"/>
      <c r="AR29" s="93"/>
      <c r="AS29" s="93"/>
      <c r="AT29" s="93"/>
      <c r="AU29" s="93"/>
      <c r="AV29" s="93"/>
      <c r="AW29" s="93"/>
      <c r="AX29" s="93"/>
      <c r="AY29" s="93"/>
      <c r="AZ29" s="88">
        <v>1.5249999999999999</v>
      </c>
      <c r="BA29" s="88"/>
      <c r="BB29" s="88">
        <v>0.39500000000000002</v>
      </c>
      <c r="BC29" s="88"/>
      <c r="BD29" s="88">
        <v>2.0699999999999998</v>
      </c>
      <c r="BE29" s="88"/>
      <c r="BF29" s="6">
        <f t="shared" si="5"/>
        <v>0.92262499999999992</v>
      </c>
      <c r="BG29" s="6">
        <f t="shared" si="6"/>
        <v>2.1273749999999998</v>
      </c>
      <c r="BH29" s="88">
        <v>221.02</v>
      </c>
      <c r="BI29" s="88"/>
      <c r="BJ29" s="88">
        <v>346.5197</v>
      </c>
      <c r="BK29" s="88"/>
      <c r="BL29" s="91">
        <f t="shared" ref="BL29:BL35" si="10">(5.2/AZ29+2*(AZ29/5.2*(1-BB29^2))^0.5*COS(BD29*3.1415926/180))</f>
        <v>4.4041981191487221</v>
      </c>
      <c r="BM29" s="88"/>
      <c r="BN29" s="88" t="s">
        <v>456</v>
      </c>
      <c r="BO29" s="223">
        <v>36</v>
      </c>
      <c r="BP29" s="94">
        <v>3</v>
      </c>
      <c r="BQ29" s="94">
        <v>46</v>
      </c>
      <c r="BR29" s="94">
        <v>3290</v>
      </c>
      <c r="BS29" s="94">
        <v>46</v>
      </c>
      <c r="BU29" s="215">
        <v>0.71274999999999999</v>
      </c>
      <c r="BV29" s="215">
        <v>6.7449999999999996E-2</v>
      </c>
      <c r="BW29" s="215">
        <v>1.7000000000000001E-4</v>
      </c>
      <c r="BX29" s="215">
        <v>3.2599999999999999E-3</v>
      </c>
      <c r="BY29" s="215">
        <v>1.47E-3</v>
      </c>
      <c r="BZ29" s="215">
        <v>5.5199999999999997E-3</v>
      </c>
      <c r="CA29" s="215">
        <v>0.19919000000000001</v>
      </c>
      <c r="CB29" s="215">
        <v>6.1440000000000002E-2</v>
      </c>
      <c r="CC29" s="215">
        <v>8.6410000000000001E-2</v>
      </c>
      <c r="CD29" s="215">
        <v>1.951E-2</v>
      </c>
      <c r="CE29" s="215">
        <v>0</v>
      </c>
      <c r="CF29" s="215">
        <v>8.1999999999999998E-4</v>
      </c>
      <c r="CG29" s="215">
        <v>0</v>
      </c>
      <c r="CH29" s="215">
        <v>0</v>
      </c>
      <c r="CI29" s="212">
        <f t="shared" si="7"/>
        <v>0.91193999999999997</v>
      </c>
    </row>
    <row r="30" spans="1:87" s="95" customFormat="1" ht="16.5" thickBot="1">
      <c r="A30" s="82" t="s">
        <v>396</v>
      </c>
      <c r="B30" s="82">
        <v>28</v>
      </c>
      <c r="C30" s="83">
        <v>42523</v>
      </c>
      <c r="D30" s="84">
        <v>0.45585648148148145</v>
      </c>
      <c r="E30" s="85"/>
      <c r="F30" s="86">
        <v>34.590000000000003</v>
      </c>
      <c r="G30" s="86">
        <v>-110.45</v>
      </c>
      <c r="H30" s="87">
        <v>33.883000000000003</v>
      </c>
      <c r="I30" s="86">
        <v>-110.64700000000001</v>
      </c>
      <c r="J30" s="88" t="s">
        <v>397</v>
      </c>
      <c r="K30" s="88">
        <v>7.9000000000000001E-2</v>
      </c>
      <c r="L30" s="88">
        <v>16.559999999999999</v>
      </c>
      <c r="M30" s="88">
        <v>0.17</v>
      </c>
      <c r="N30" s="88"/>
      <c r="O30" s="90">
        <v>1050</v>
      </c>
      <c r="P30" s="90"/>
      <c r="Q30" s="88">
        <f t="shared" si="9"/>
        <v>0.8228187611361526</v>
      </c>
      <c r="R30" s="88">
        <v>-16</v>
      </c>
      <c r="S30" s="88"/>
      <c r="T30" s="88">
        <v>30</v>
      </c>
      <c r="U30" s="88"/>
      <c r="V30" s="88">
        <v>108.49</v>
      </c>
      <c r="W30" s="88">
        <v>0.41</v>
      </c>
      <c r="X30" s="88">
        <v>42</v>
      </c>
      <c r="Y30" s="88">
        <v>0.5</v>
      </c>
      <c r="Z30" s="129">
        <f t="shared" si="3"/>
        <v>78.489999999999995</v>
      </c>
      <c r="AA30" s="88"/>
      <c r="AB30" s="88"/>
      <c r="AC30" s="250"/>
      <c r="AD30" s="148">
        <f t="shared" si="8"/>
        <v>3.4402064516129031E-2</v>
      </c>
      <c r="AE30" s="168"/>
      <c r="AF30" s="169"/>
      <c r="AG30" s="169"/>
      <c r="AH30" s="170"/>
      <c r="AI30" s="171">
        <v>6.5</v>
      </c>
      <c r="AJ30" s="170"/>
      <c r="AK30" s="170"/>
      <c r="AL30" s="170"/>
      <c r="AM30" s="172">
        <f t="shared" si="4"/>
        <v>12.075384615384614</v>
      </c>
      <c r="AN30" s="170" t="s">
        <v>469</v>
      </c>
      <c r="AO30" s="170" t="s">
        <v>131</v>
      </c>
      <c r="AP30" s="93" t="s">
        <v>460</v>
      </c>
      <c r="AQ30" s="93" t="s">
        <v>461</v>
      </c>
      <c r="AR30" s="93" t="s">
        <v>462</v>
      </c>
      <c r="AS30" s="93" t="s">
        <v>463</v>
      </c>
      <c r="AT30" s="93" t="s">
        <v>464</v>
      </c>
      <c r="AU30" s="93" t="s">
        <v>465</v>
      </c>
      <c r="AV30" s="93" t="s">
        <v>466</v>
      </c>
      <c r="AW30" s="93" t="s">
        <v>467</v>
      </c>
      <c r="AX30" s="93" t="s">
        <v>479</v>
      </c>
      <c r="AY30" s="93" t="s">
        <v>446</v>
      </c>
      <c r="AZ30" s="88">
        <v>1.129</v>
      </c>
      <c r="BA30" s="88">
        <v>8.0000000000000002E-3</v>
      </c>
      <c r="BB30" s="88">
        <v>0.20499999999999999</v>
      </c>
      <c r="BC30" s="88">
        <v>4.0000000000000001E-3</v>
      </c>
      <c r="BD30" s="88">
        <v>21.24</v>
      </c>
      <c r="BE30" s="88">
        <v>0.27</v>
      </c>
      <c r="BF30" s="6">
        <f t="shared" si="5"/>
        <v>0.8975550000000001</v>
      </c>
      <c r="BG30" s="6">
        <f t="shared" si="6"/>
        <v>1.3604450000000001</v>
      </c>
      <c r="BH30" s="88">
        <v>108.7</v>
      </c>
      <c r="BI30" s="88">
        <v>1.5</v>
      </c>
      <c r="BJ30" s="88">
        <v>72.120599999999996</v>
      </c>
      <c r="BK30" s="88">
        <v>2.0000000000000001E-4</v>
      </c>
      <c r="BL30" s="91">
        <f t="shared" si="10"/>
        <v>5.4560073773782758</v>
      </c>
      <c r="BM30" s="88"/>
      <c r="BN30" s="88">
        <v>28</v>
      </c>
      <c r="BO30" s="223">
        <v>11</v>
      </c>
      <c r="BP30" s="94">
        <v>3</v>
      </c>
      <c r="BQ30" s="94">
        <v>28</v>
      </c>
      <c r="BR30" s="94">
        <v>3500</v>
      </c>
      <c r="BS30" s="94">
        <v>28</v>
      </c>
      <c r="BU30" s="215">
        <v>0.62395999999999996</v>
      </c>
      <c r="BV30" s="215">
        <v>7.2419999999999998E-2</v>
      </c>
      <c r="BW30" s="215">
        <v>0</v>
      </c>
      <c r="BX30" s="215">
        <v>0</v>
      </c>
      <c r="BY30" s="215">
        <v>2.0000000000000002E-5</v>
      </c>
      <c r="BZ30" s="215">
        <v>8.0000000000000007E-5</v>
      </c>
      <c r="CA30" s="215">
        <v>0.22028</v>
      </c>
      <c r="CB30" s="215">
        <v>6.4320000000000002E-2</v>
      </c>
      <c r="CC30" s="215">
        <v>0.15573000000000001</v>
      </c>
      <c r="CD30" s="215">
        <v>3.2169999999999997E-2</v>
      </c>
      <c r="CE30" s="215">
        <v>2.0000000000000002E-5</v>
      </c>
      <c r="CF30" s="215">
        <v>4.7999999999999996E-3</v>
      </c>
      <c r="CG30" s="215">
        <v>0</v>
      </c>
      <c r="CH30" s="215">
        <v>0</v>
      </c>
      <c r="CI30" s="212">
        <f t="shared" si="7"/>
        <v>0.84423999999999999</v>
      </c>
    </row>
    <row r="31" spans="1:87" s="95" customFormat="1" ht="32.25" thickBot="1">
      <c r="A31" s="82" t="s">
        <v>401</v>
      </c>
      <c r="B31" s="82">
        <v>29</v>
      </c>
      <c r="C31" s="83">
        <v>43117</v>
      </c>
      <c r="D31" s="84">
        <v>4.7557870370370368E-2</v>
      </c>
      <c r="E31" s="85"/>
      <c r="F31" s="86">
        <v>42.32</v>
      </c>
      <c r="G31" s="86">
        <v>-83.566999999999993</v>
      </c>
      <c r="H31" s="87">
        <v>42.228499999999997</v>
      </c>
      <c r="I31" s="86">
        <v>-83.835800000000006</v>
      </c>
      <c r="J31" s="88" t="s">
        <v>28</v>
      </c>
      <c r="K31" s="88">
        <v>0.51</v>
      </c>
      <c r="L31" s="88">
        <v>15.83</v>
      </c>
      <c r="M31" s="88">
        <v>0.05</v>
      </c>
      <c r="N31" s="88"/>
      <c r="O31" s="90">
        <v>225</v>
      </c>
      <c r="P31" s="90"/>
      <c r="Q31" s="88">
        <f t="shared" si="9"/>
        <v>0.49238425294770344</v>
      </c>
      <c r="R31" s="88">
        <v>-16.100000000000001</v>
      </c>
      <c r="S31" s="88"/>
      <c r="T31" s="88">
        <v>24.1</v>
      </c>
      <c r="U31" s="88"/>
      <c r="V31" s="88">
        <v>83.02</v>
      </c>
      <c r="W31" s="88">
        <v>0.01</v>
      </c>
      <c r="X31" s="88">
        <v>19.73</v>
      </c>
      <c r="Y31" s="88">
        <v>0.01</v>
      </c>
      <c r="Z31" s="129">
        <f t="shared" si="3"/>
        <v>64.42607267048048</v>
      </c>
      <c r="AA31" s="88">
        <v>23.86</v>
      </c>
      <c r="AB31" s="88">
        <v>0.28999999999999998</v>
      </c>
      <c r="AC31" s="250"/>
      <c r="AD31" s="148">
        <v>7.0000000000000001E-3</v>
      </c>
      <c r="AE31" s="168"/>
      <c r="AF31" s="169">
        <v>-4.4000000000000004</v>
      </c>
      <c r="AG31" s="169"/>
      <c r="AH31" s="170" t="s">
        <v>249</v>
      </c>
      <c r="AI31" s="171">
        <v>4.2</v>
      </c>
      <c r="AJ31" s="170"/>
      <c r="AK31" s="170"/>
      <c r="AL31" s="170"/>
      <c r="AM31" s="172">
        <f t="shared" si="4"/>
        <v>15.339541112019161</v>
      </c>
      <c r="AN31" s="170" t="s">
        <v>403</v>
      </c>
      <c r="AO31" s="170" t="s">
        <v>131</v>
      </c>
      <c r="AP31" s="93" t="s">
        <v>480</v>
      </c>
      <c r="AQ31" s="93" t="s">
        <v>481</v>
      </c>
      <c r="AR31" s="93" t="s">
        <v>482</v>
      </c>
      <c r="AS31" s="93" t="s">
        <v>467</v>
      </c>
      <c r="AT31" s="93" t="s">
        <v>404</v>
      </c>
      <c r="AU31" s="93" t="s">
        <v>405</v>
      </c>
      <c r="AV31" s="93" t="s">
        <v>406</v>
      </c>
      <c r="AW31" s="93" t="s">
        <v>407</v>
      </c>
      <c r="AX31" s="93" t="s">
        <v>483</v>
      </c>
      <c r="AY31" s="93" t="s">
        <v>484</v>
      </c>
      <c r="AZ31" s="88">
        <v>2.73</v>
      </c>
      <c r="BA31" s="88">
        <v>0.05</v>
      </c>
      <c r="BB31" s="88">
        <v>0.66100000000000003</v>
      </c>
      <c r="BC31" s="88">
        <v>6.0000000000000001E-3</v>
      </c>
      <c r="BD31" s="88">
        <v>0.60399999999999998</v>
      </c>
      <c r="BE31" s="88">
        <v>0.11</v>
      </c>
      <c r="BF31" s="6">
        <f t="shared" si="5"/>
        <v>0.9254699999999999</v>
      </c>
      <c r="BG31" s="6">
        <f t="shared" si="6"/>
        <v>4.5345300000000002</v>
      </c>
      <c r="BH31" s="88">
        <v>211.65</v>
      </c>
      <c r="BI31" s="88">
        <v>0.3</v>
      </c>
      <c r="BJ31" s="88">
        <v>296.42099999999999</v>
      </c>
      <c r="BK31" s="88">
        <v>0.03</v>
      </c>
      <c r="BL31" s="91">
        <f t="shared" si="10"/>
        <v>2.9921139628618514</v>
      </c>
      <c r="BM31" s="88"/>
      <c r="BN31" s="88">
        <v>29</v>
      </c>
      <c r="BO31" s="223">
        <v>12</v>
      </c>
      <c r="BP31" s="94"/>
      <c r="BQ31" s="94">
        <v>45</v>
      </c>
      <c r="BR31" s="94"/>
      <c r="BS31" s="94"/>
      <c r="BU31" s="215">
        <v>0.15984000000000001</v>
      </c>
      <c r="BV31" s="215">
        <v>3.193E-2</v>
      </c>
      <c r="BW31" s="215">
        <v>2.5600000000000002E-3</v>
      </c>
      <c r="BX31" s="215">
        <v>4.2479999999999997E-2</v>
      </c>
      <c r="BY31" s="215">
        <v>1.7600000000000001E-3</v>
      </c>
      <c r="BZ31" s="215">
        <v>6.7299999999999999E-3</v>
      </c>
      <c r="CA31" s="215">
        <v>7.0899999999999999E-3</v>
      </c>
      <c r="CB31" s="215">
        <v>2.7299999999999998E-3</v>
      </c>
      <c r="CC31" s="215">
        <v>0.47310999999999998</v>
      </c>
      <c r="CD31" s="215">
        <v>9.2319999999999999E-2</v>
      </c>
      <c r="CE31" s="215">
        <v>0</v>
      </c>
      <c r="CF31" s="215">
        <v>1.3999999999999999E-4</v>
      </c>
      <c r="CG31" s="215">
        <v>0.35564000000000001</v>
      </c>
      <c r="CH31" s="215">
        <v>9.2429999999999998E-2</v>
      </c>
      <c r="CI31" s="212">
        <f t="shared" si="7"/>
        <v>0.16693000000000002</v>
      </c>
    </row>
    <row r="32" spans="1:87" s="95" customFormat="1" ht="32.25" thickBot="1">
      <c r="A32" s="143" t="s">
        <v>412</v>
      </c>
      <c r="B32" s="82">
        <v>31</v>
      </c>
      <c r="C32" s="83">
        <v>42269</v>
      </c>
      <c r="D32" s="84">
        <v>0.8405893518518518</v>
      </c>
      <c r="E32" s="85"/>
      <c r="F32" s="86">
        <v>39.116300000000003</v>
      </c>
      <c r="G32" s="87">
        <v>40.368699999999997</v>
      </c>
      <c r="H32" s="95">
        <v>38.898099999999999</v>
      </c>
      <c r="I32" s="86">
        <v>40.598799999999997</v>
      </c>
      <c r="J32" s="88" t="s">
        <v>413</v>
      </c>
      <c r="K32" s="88">
        <v>15.24</v>
      </c>
      <c r="L32" s="88">
        <v>17.100000000000001</v>
      </c>
      <c r="M32" s="88">
        <v>0.8</v>
      </c>
      <c r="N32" s="88"/>
      <c r="O32" s="90">
        <v>1532</v>
      </c>
      <c r="P32" s="90"/>
      <c r="Q32" s="88">
        <f t="shared" si="9"/>
        <v>0.93324024858647947</v>
      </c>
      <c r="R32" s="88">
        <v>-16.8</v>
      </c>
      <c r="S32" s="88">
        <v>0.8</v>
      </c>
      <c r="T32" s="88">
        <v>33</v>
      </c>
      <c r="U32" s="88">
        <v>1</v>
      </c>
      <c r="V32" s="88">
        <v>58.4</v>
      </c>
      <c r="W32" s="88"/>
      <c r="X32" s="88">
        <v>21.3</v>
      </c>
      <c r="Y32" s="88">
        <v>0.5</v>
      </c>
      <c r="Z32" s="129">
        <f t="shared" si="3"/>
        <v>31.638573622732032</v>
      </c>
      <c r="AA32" s="88">
        <v>36.6</v>
      </c>
      <c r="AB32" s="88">
        <v>0.8</v>
      </c>
      <c r="AC32" s="250"/>
      <c r="AD32" s="148">
        <v>0.08</v>
      </c>
      <c r="AE32" s="168">
        <v>0.02</v>
      </c>
      <c r="AF32" s="169">
        <v>-4.8</v>
      </c>
      <c r="AG32" s="169"/>
      <c r="AH32" s="170" t="s">
        <v>250</v>
      </c>
      <c r="AI32" s="171">
        <v>2.9</v>
      </c>
      <c r="AJ32" s="170"/>
      <c r="AK32" s="170"/>
      <c r="AL32" s="170"/>
      <c r="AM32" s="172">
        <f t="shared" si="4"/>
        <v>10.909852973355873</v>
      </c>
      <c r="AN32" s="170" t="s">
        <v>418</v>
      </c>
      <c r="AO32" s="170" t="s">
        <v>131</v>
      </c>
      <c r="AP32" s="93" t="s">
        <v>485</v>
      </c>
      <c r="AQ32" s="93" t="s">
        <v>421</v>
      </c>
      <c r="AR32" s="93" t="s">
        <v>486</v>
      </c>
      <c r="AS32" s="93" t="s">
        <v>312</v>
      </c>
      <c r="AT32" s="93" t="s">
        <v>419</v>
      </c>
      <c r="AU32" s="93" t="s">
        <v>421</v>
      </c>
      <c r="AV32" s="93" t="s">
        <v>420</v>
      </c>
      <c r="AW32" s="93" t="s">
        <v>312</v>
      </c>
      <c r="AX32" s="93" t="s">
        <v>487</v>
      </c>
      <c r="AY32" s="93" t="s">
        <v>488</v>
      </c>
      <c r="AZ32" s="88">
        <v>1.454</v>
      </c>
      <c r="BA32" s="88">
        <v>8.3000000000000004E-2</v>
      </c>
      <c r="BB32" s="88">
        <v>0.30399999999999999</v>
      </c>
      <c r="BC32" s="88">
        <v>3.9E-2</v>
      </c>
      <c r="BD32" s="88">
        <v>22.6</v>
      </c>
      <c r="BE32" s="88">
        <v>1.6</v>
      </c>
      <c r="BF32" s="6">
        <f t="shared" si="5"/>
        <v>1.011984</v>
      </c>
      <c r="BG32" s="6">
        <f t="shared" si="6"/>
        <v>1.8960159999999999</v>
      </c>
      <c r="BH32" s="88">
        <v>182.8</v>
      </c>
      <c r="BI32" s="88">
        <v>1.6</v>
      </c>
      <c r="BJ32" s="88">
        <v>179.83199999999999</v>
      </c>
      <c r="BK32" s="88">
        <v>4.0000000000000001E-3</v>
      </c>
      <c r="BL32" s="91">
        <f t="shared" si="10"/>
        <v>4.50649445958034</v>
      </c>
      <c r="BM32" s="88"/>
      <c r="BN32" s="88">
        <v>31</v>
      </c>
      <c r="BO32" s="223">
        <v>22</v>
      </c>
      <c r="BP32" s="94"/>
      <c r="BQ32" s="94">
        <v>31</v>
      </c>
      <c r="BR32" s="94">
        <v>2929</v>
      </c>
      <c r="BS32" s="94">
        <v>31</v>
      </c>
      <c r="BU32" s="215">
        <v>0.35959999999999998</v>
      </c>
      <c r="BV32" s="215">
        <v>9.2069999999999999E-2</v>
      </c>
      <c r="BW32" s="215">
        <v>4.0000000000000003E-5</v>
      </c>
      <c r="BX32" s="215">
        <v>9.2000000000000003E-4</v>
      </c>
      <c r="BY32" s="215">
        <v>0</v>
      </c>
      <c r="BZ32" s="215">
        <v>0</v>
      </c>
      <c r="CA32" s="215">
        <v>0.59960999999999998</v>
      </c>
      <c r="CB32" s="215">
        <v>9.9000000000000005E-2</v>
      </c>
      <c r="CC32" s="215">
        <v>4.0719999999999999E-2</v>
      </c>
      <c r="CD32" s="215">
        <v>1.0410000000000001E-2</v>
      </c>
      <c r="CE32" s="215">
        <v>3.0000000000000001E-5</v>
      </c>
      <c r="CF32" s="215">
        <v>9.1900000000000003E-3</v>
      </c>
      <c r="CG32" s="215">
        <v>0</v>
      </c>
      <c r="CH32" s="215">
        <v>0</v>
      </c>
      <c r="CI32" s="212">
        <f t="shared" si="7"/>
        <v>0.9592099999999999</v>
      </c>
    </row>
    <row r="33" spans="1:87" s="95" customFormat="1" ht="32.25" thickBot="1">
      <c r="A33" s="82" t="s">
        <v>424</v>
      </c>
      <c r="B33" s="82">
        <v>32</v>
      </c>
      <c r="C33" s="83">
        <v>42301</v>
      </c>
      <c r="D33" s="84">
        <v>0.24148495370370371</v>
      </c>
      <c r="E33" s="85">
        <v>0.1</v>
      </c>
      <c r="F33" s="86">
        <v>35.347000000000001</v>
      </c>
      <c r="G33" s="87">
        <v>-120.226</v>
      </c>
      <c r="H33" s="95">
        <v>35.57508</v>
      </c>
      <c r="I33" s="86">
        <v>-120.49847</v>
      </c>
      <c r="J33" s="88" t="s">
        <v>434</v>
      </c>
      <c r="K33" s="88">
        <v>0.68</v>
      </c>
      <c r="L33" s="88">
        <v>16</v>
      </c>
      <c r="M33" s="88">
        <v>0.26</v>
      </c>
      <c r="N33" s="88"/>
      <c r="O33" s="90">
        <v>50</v>
      </c>
      <c r="P33" s="90"/>
      <c r="Q33" s="88">
        <f t="shared" si="9"/>
        <v>0.29824201713235454</v>
      </c>
      <c r="R33" s="88">
        <v>-12</v>
      </c>
      <c r="S33" s="88"/>
      <c r="T33" s="88">
        <v>29.5</v>
      </c>
      <c r="U33" s="88">
        <v>0.5</v>
      </c>
      <c r="V33" s="88">
        <v>70</v>
      </c>
      <c r="W33" s="88"/>
      <c r="X33" s="88">
        <v>21</v>
      </c>
      <c r="Y33" s="88">
        <v>0.5</v>
      </c>
      <c r="Z33" s="129">
        <f t="shared" si="3"/>
        <v>52.411336842101186</v>
      </c>
      <c r="AA33" s="88">
        <v>39.4</v>
      </c>
      <c r="AB33" s="88">
        <v>0.8</v>
      </c>
      <c r="AC33" s="250"/>
      <c r="AD33" s="148">
        <v>1.6999999999999999E-3</v>
      </c>
      <c r="AE33" s="168"/>
      <c r="AF33" s="169">
        <v>-4.2</v>
      </c>
      <c r="AG33" s="169"/>
      <c r="AH33" s="170" t="s">
        <v>249</v>
      </c>
      <c r="AI33" s="171">
        <v>4.5999999999999996</v>
      </c>
      <c r="AJ33" s="170"/>
      <c r="AK33" s="170"/>
      <c r="AL33" s="170"/>
      <c r="AM33" s="172">
        <f t="shared" si="4"/>
        <v>11.393768878717649</v>
      </c>
      <c r="AN33" s="170" t="s">
        <v>428</v>
      </c>
      <c r="AO33" s="170" t="s">
        <v>131</v>
      </c>
      <c r="AP33" s="93" t="s">
        <v>489</v>
      </c>
      <c r="AQ33" s="93" t="s">
        <v>484</v>
      </c>
      <c r="AR33" s="93" t="s">
        <v>490</v>
      </c>
      <c r="AS33" s="93" t="s">
        <v>303</v>
      </c>
      <c r="AT33" s="93" t="s">
        <v>425</v>
      </c>
      <c r="AU33" s="93" t="s">
        <v>303</v>
      </c>
      <c r="AV33" s="93" t="s">
        <v>426</v>
      </c>
      <c r="AW33" s="93" t="s">
        <v>427</v>
      </c>
      <c r="AX33" s="93" t="s">
        <v>491</v>
      </c>
      <c r="AY33" s="93" t="s">
        <v>481</v>
      </c>
      <c r="AZ33" s="88">
        <v>1.3</v>
      </c>
      <c r="BA33" s="88">
        <v>1.9E-2</v>
      </c>
      <c r="BB33" s="88">
        <v>0.41</v>
      </c>
      <c r="BC33" s="88">
        <v>1.2999999999999999E-2</v>
      </c>
      <c r="BD33" s="88">
        <v>4.2279999999999998</v>
      </c>
      <c r="BE33" s="88">
        <v>7.0000000000000007E-2</v>
      </c>
      <c r="BF33" s="6">
        <f t="shared" si="5"/>
        <v>0.76700000000000013</v>
      </c>
      <c r="BG33" s="6">
        <f t="shared" si="6"/>
        <v>1.833</v>
      </c>
      <c r="BH33" s="88">
        <v>79.2</v>
      </c>
      <c r="BI33" s="88">
        <v>0.13</v>
      </c>
      <c r="BJ33" s="88">
        <v>30.457999999999998</v>
      </c>
      <c r="BK33" s="88">
        <v>6.0000000000000001E-3</v>
      </c>
      <c r="BL33" s="91">
        <f t="shared" si="10"/>
        <v>4.9096033429351333</v>
      </c>
      <c r="BM33" s="88"/>
      <c r="BN33" s="88">
        <v>32</v>
      </c>
      <c r="BO33" s="223">
        <v>45</v>
      </c>
      <c r="BP33" s="94">
        <v>5</v>
      </c>
      <c r="BQ33" s="94">
        <v>32</v>
      </c>
      <c r="BR33" s="94">
        <v>3270</v>
      </c>
      <c r="BS33" s="94">
        <v>32</v>
      </c>
      <c r="BU33" s="215">
        <v>0.71533999999999998</v>
      </c>
      <c r="BV33" s="215">
        <v>6.0449999999999997E-2</v>
      </c>
      <c r="BW33" s="215">
        <v>2.5000000000000001E-4</v>
      </c>
      <c r="BX33" s="215">
        <v>4.6699999999999997E-3</v>
      </c>
      <c r="BY33" s="215">
        <v>0</v>
      </c>
      <c r="BZ33" s="215">
        <v>0</v>
      </c>
      <c r="CA33" s="215">
        <v>0.14524999999999999</v>
      </c>
      <c r="CB33" s="215">
        <v>4.7449999999999999E-2</v>
      </c>
      <c r="CC33" s="215">
        <v>0.13914000000000001</v>
      </c>
      <c r="CD33" s="215">
        <v>3.039E-2</v>
      </c>
      <c r="CE33" s="215">
        <v>2.0000000000000002E-5</v>
      </c>
      <c r="CF33" s="215">
        <v>4.3800000000000002E-3</v>
      </c>
      <c r="CG33" s="215">
        <v>0</v>
      </c>
      <c r="CH33" s="215">
        <v>0</v>
      </c>
      <c r="CI33" s="212">
        <f t="shared" si="7"/>
        <v>0.86058999999999997</v>
      </c>
    </row>
    <row r="34" spans="1:87" s="95" customFormat="1" ht="16.5" thickBot="1">
      <c r="A34" s="82" t="s">
        <v>433</v>
      </c>
      <c r="B34" s="82">
        <v>33</v>
      </c>
      <c r="C34" s="83">
        <v>42674</v>
      </c>
      <c r="D34" s="84">
        <v>8.5960648148148147E-2</v>
      </c>
      <c r="E34" s="85"/>
      <c r="F34" s="86">
        <v>-28.775759999999998</v>
      </c>
      <c r="G34" s="87">
        <v>116.41678</v>
      </c>
      <c r="H34" s="95">
        <v>-29.20608</v>
      </c>
      <c r="I34" s="86">
        <v>116.21547</v>
      </c>
      <c r="J34" s="88" t="s">
        <v>679</v>
      </c>
      <c r="K34" s="88">
        <v>1.1499999999999999</v>
      </c>
      <c r="L34" s="88">
        <v>15.443</v>
      </c>
      <c r="M34" s="88">
        <v>0.06</v>
      </c>
      <c r="N34" s="88">
        <v>3.2429999999999999</v>
      </c>
      <c r="O34" s="90">
        <v>0.46500000000000002</v>
      </c>
      <c r="P34" s="90"/>
      <c r="Q34" s="88">
        <f t="shared" si="9"/>
        <v>6.2719595566913283E-2</v>
      </c>
      <c r="R34" s="88"/>
      <c r="S34" s="88"/>
      <c r="T34" s="88">
        <v>32</v>
      </c>
      <c r="U34" s="88"/>
      <c r="V34" s="88">
        <v>80.599999999999994</v>
      </c>
      <c r="W34" s="88"/>
      <c r="X34" s="88">
        <v>19.100000000000001</v>
      </c>
      <c r="Y34" s="88"/>
      <c r="Z34" s="129">
        <f t="shared" si="3"/>
        <v>62.536514314408286</v>
      </c>
      <c r="AA34" s="88">
        <v>39</v>
      </c>
      <c r="AB34" s="88"/>
      <c r="AC34" s="250"/>
      <c r="AD34" s="148">
        <v>1.4E-3</v>
      </c>
      <c r="AE34" s="168"/>
      <c r="AF34" s="169">
        <v>-4.0999999999999996</v>
      </c>
      <c r="AG34" s="169"/>
      <c r="AH34" s="170" t="s">
        <v>249</v>
      </c>
      <c r="AI34" s="171">
        <v>6.1</v>
      </c>
      <c r="AJ34" s="170"/>
      <c r="AK34" s="170"/>
      <c r="AL34" s="170"/>
      <c r="AM34" s="172">
        <f t="shared" si="4"/>
        <v>10.25188759252595</v>
      </c>
      <c r="AN34" s="170" t="s">
        <v>435</v>
      </c>
      <c r="AO34" s="170" t="s">
        <v>131</v>
      </c>
      <c r="AP34" s="93"/>
      <c r="AQ34" s="93"/>
      <c r="AR34" s="93"/>
      <c r="AS34" s="93"/>
      <c r="AT34" s="93" t="s">
        <v>436</v>
      </c>
      <c r="AU34" s="93" t="s">
        <v>437</v>
      </c>
      <c r="AV34" s="93" t="s">
        <v>438</v>
      </c>
      <c r="AW34" s="93" t="s">
        <v>439</v>
      </c>
      <c r="AX34" s="93" t="s">
        <v>492</v>
      </c>
      <c r="AY34" s="93" t="s">
        <v>493</v>
      </c>
      <c r="AZ34" s="88">
        <v>2.254</v>
      </c>
      <c r="BA34" s="88">
        <v>3.4000000000000002E-2</v>
      </c>
      <c r="BB34" s="88">
        <v>0.59040000000000004</v>
      </c>
      <c r="BC34" s="88">
        <v>6.3E-3</v>
      </c>
      <c r="BD34" s="88">
        <v>4.0510000000000002</v>
      </c>
      <c r="BE34" s="88">
        <v>1.2E-2</v>
      </c>
      <c r="BF34" s="6">
        <f t="shared" si="5"/>
        <v>0.9232383999999999</v>
      </c>
      <c r="BG34" s="6">
        <f t="shared" si="6"/>
        <v>3.5847616000000002</v>
      </c>
      <c r="BH34" s="88">
        <v>215.773</v>
      </c>
      <c r="BI34" s="88">
        <v>4.9000000000000002E-2</v>
      </c>
      <c r="BJ34" s="88">
        <v>218.25200000000001</v>
      </c>
      <c r="BK34" s="88"/>
      <c r="BL34" s="91">
        <f t="shared" si="10"/>
        <v>3.3671224239107636</v>
      </c>
      <c r="BM34" s="88"/>
      <c r="BN34" s="88">
        <v>33</v>
      </c>
      <c r="BO34" s="223">
        <v>9</v>
      </c>
      <c r="BP34" s="94"/>
      <c r="BQ34" s="94">
        <v>44</v>
      </c>
      <c r="BR34" s="94">
        <v>3450</v>
      </c>
      <c r="BS34" s="94">
        <v>33</v>
      </c>
      <c r="BU34" s="215">
        <v>0.64802999999999999</v>
      </c>
      <c r="BV34" s="215">
        <v>6.0760000000000002E-2</v>
      </c>
      <c r="BW34" s="215">
        <v>3.3E-4</v>
      </c>
      <c r="BX34" s="215">
        <v>6.1799999999999997E-3</v>
      </c>
      <c r="BY34" s="215">
        <v>1E-4</v>
      </c>
      <c r="BZ34" s="215">
        <v>3.6999999999999999E-4</v>
      </c>
      <c r="CA34" s="215">
        <v>3.2460000000000003E-2</v>
      </c>
      <c r="CB34" s="215">
        <v>1.17E-2</v>
      </c>
      <c r="CC34" s="215">
        <v>0.30381999999999998</v>
      </c>
      <c r="CD34" s="215">
        <v>5.8220000000000001E-2</v>
      </c>
      <c r="CE34" s="215">
        <v>0</v>
      </c>
      <c r="CF34" s="215">
        <v>6.2E-4</v>
      </c>
      <c r="CG34" s="215">
        <v>1.5259999999999999E-2</v>
      </c>
      <c r="CH34" s="215">
        <v>5.47E-3</v>
      </c>
      <c r="CI34" s="212">
        <f t="shared" si="7"/>
        <v>0.68049000000000004</v>
      </c>
    </row>
    <row r="35" spans="1:87" s="62" customFormat="1" ht="16.5" thickBot="1">
      <c r="A35" s="51" t="s">
        <v>494</v>
      </c>
      <c r="B35" s="51">
        <v>34</v>
      </c>
      <c r="C35" s="52">
        <v>43253</v>
      </c>
      <c r="D35" s="53">
        <v>0.69726851851851857</v>
      </c>
      <c r="E35" s="54">
        <v>0.98</v>
      </c>
      <c r="F35" s="55">
        <v>-21.343896999999998</v>
      </c>
      <c r="G35" s="55">
        <v>24.366475000000001</v>
      </c>
      <c r="H35" s="56"/>
      <c r="I35" s="55"/>
      <c r="J35" s="57" t="s">
        <v>413</v>
      </c>
      <c r="K35" s="57"/>
      <c r="L35" s="57">
        <v>17</v>
      </c>
      <c r="M35" s="57">
        <v>1E-3</v>
      </c>
      <c r="N35" s="57"/>
      <c r="O35" s="58"/>
      <c r="P35" s="58"/>
      <c r="Q35" s="57">
        <v>1.56</v>
      </c>
      <c r="R35" s="57"/>
      <c r="S35" s="57">
        <v>-23</v>
      </c>
      <c r="T35" s="57">
        <v>27</v>
      </c>
      <c r="U35" s="57"/>
      <c r="V35" s="57">
        <v>80</v>
      </c>
      <c r="W35" s="57"/>
      <c r="X35" s="57"/>
      <c r="Y35" s="57"/>
      <c r="Z35" s="59">
        <f t="shared" si="3"/>
        <v>124.75533152505677</v>
      </c>
      <c r="AA35" s="57">
        <v>64.86</v>
      </c>
      <c r="AB35" s="57">
        <v>0.01</v>
      </c>
      <c r="AC35" s="249"/>
      <c r="AD35" s="145">
        <v>0.2</v>
      </c>
      <c r="AE35" s="164"/>
      <c r="AF35" s="165"/>
      <c r="AG35" s="165"/>
      <c r="AH35" s="166"/>
      <c r="AI35" s="166"/>
      <c r="AJ35" s="166"/>
      <c r="AK35" s="166"/>
      <c r="AL35" s="166"/>
      <c r="AM35" s="177"/>
      <c r="AN35" s="166" t="s">
        <v>587</v>
      </c>
      <c r="AO35" s="166" t="s">
        <v>131</v>
      </c>
      <c r="AP35" s="60"/>
      <c r="AQ35" s="60"/>
      <c r="AR35" s="60"/>
      <c r="AS35" s="60"/>
      <c r="AT35" s="60" t="s">
        <v>588</v>
      </c>
      <c r="AU35" s="60" t="s">
        <v>589</v>
      </c>
      <c r="AV35" s="60" t="s">
        <v>590</v>
      </c>
      <c r="AW35" s="60" t="s">
        <v>591</v>
      </c>
      <c r="AX35" s="60" t="s">
        <v>592</v>
      </c>
      <c r="AY35" s="60" t="s">
        <v>593</v>
      </c>
      <c r="AZ35" s="57">
        <v>1.3764000000000001</v>
      </c>
      <c r="BA35" s="57">
        <v>1.1E-4</v>
      </c>
      <c r="BB35" s="57">
        <v>0.43186099999999999</v>
      </c>
      <c r="BC35" s="57">
        <v>6.0999999999999999E-5</v>
      </c>
      <c r="BD35" s="57">
        <v>4.2974100000000002</v>
      </c>
      <c r="BE35" s="57">
        <v>4.2999999999999999E-4</v>
      </c>
      <c r="BF35" s="6">
        <f t="shared" si="5"/>
        <v>0.78198651959999999</v>
      </c>
      <c r="BG35" s="6">
        <f t="shared" si="6"/>
        <v>1.9708134804000002</v>
      </c>
      <c r="BH35" s="57">
        <v>256.04869000000002</v>
      </c>
      <c r="BI35" s="57">
        <v>5.5000000000000003E-4</v>
      </c>
      <c r="BJ35" s="57">
        <v>71.869605000000007</v>
      </c>
      <c r="BK35" s="57">
        <v>1.2E-5</v>
      </c>
      <c r="BL35" s="46">
        <f t="shared" si="10"/>
        <v>4.7034272700050419</v>
      </c>
      <c r="BM35" s="57">
        <v>2.9999999999999997E-4</v>
      </c>
      <c r="BN35" s="57">
        <v>43</v>
      </c>
      <c r="BO35" s="223">
        <v>22.8</v>
      </c>
      <c r="BP35" s="61">
        <v>3.8</v>
      </c>
      <c r="BQ35" s="61">
        <v>43</v>
      </c>
      <c r="BR35" s="61">
        <v>2850</v>
      </c>
      <c r="BS35" s="61">
        <v>43</v>
      </c>
      <c r="BU35" s="214">
        <v>0.72570999999999997</v>
      </c>
      <c r="BV35" s="214">
        <v>5.9240000000000001E-2</v>
      </c>
      <c r="BW35" s="214">
        <v>5.0000000000000002E-5</v>
      </c>
      <c r="BX35" s="214">
        <v>9.3000000000000005E-4</v>
      </c>
      <c r="BY35" s="214">
        <v>0</v>
      </c>
      <c r="BZ35" s="214">
        <v>0</v>
      </c>
      <c r="CA35" s="214">
        <v>0.13678999999999999</v>
      </c>
      <c r="CB35" s="214">
        <v>4.5280000000000001E-2</v>
      </c>
      <c r="CC35" s="214">
        <v>0.13743</v>
      </c>
      <c r="CD35" s="214">
        <v>3.0200000000000001E-2</v>
      </c>
      <c r="CE35" s="214">
        <v>1.0000000000000001E-5</v>
      </c>
      <c r="CF35" s="214">
        <v>3.4099999999999998E-3</v>
      </c>
      <c r="CG35" s="214">
        <v>0</v>
      </c>
      <c r="CH35" s="214">
        <v>0</v>
      </c>
      <c r="CI35" s="212">
        <f t="shared" si="7"/>
        <v>0.86249999999999993</v>
      </c>
    </row>
    <row r="36" spans="1:87" s="62" customFormat="1" ht="16.5" thickBot="1">
      <c r="A36" s="51" t="s">
        <v>495</v>
      </c>
      <c r="B36" s="51">
        <v>35</v>
      </c>
      <c r="C36" s="52">
        <v>43720</v>
      </c>
      <c r="D36" s="53">
        <v>0.53472222222222221</v>
      </c>
      <c r="E36" s="54"/>
      <c r="F36" s="55">
        <v>53.887</v>
      </c>
      <c r="G36" s="55">
        <v>9.0321999999999996</v>
      </c>
      <c r="H36" s="56">
        <v>54.761454999999998</v>
      </c>
      <c r="I36" s="55">
        <v>9.3789219999999993</v>
      </c>
      <c r="J36" s="57" t="s">
        <v>498</v>
      </c>
      <c r="K36" s="57"/>
      <c r="L36" s="57">
        <v>19.43</v>
      </c>
      <c r="M36" s="57">
        <v>0.05</v>
      </c>
      <c r="N36" s="57"/>
      <c r="O36" s="58">
        <v>15000</v>
      </c>
      <c r="P36" s="58">
        <v>5000</v>
      </c>
      <c r="Q36" s="57">
        <v>2.5</v>
      </c>
      <c r="R36" s="57"/>
      <c r="S36" s="57">
        <v>-20.5</v>
      </c>
      <c r="T36" s="57">
        <v>41</v>
      </c>
      <c r="U36" s="57"/>
      <c r="V36" s="57">
        <v>71.84</v>
      </c>
      <c r="W36" s="57">
        <v>0.08</v>
      </c>
      <c r="X36" s="57">
        <v>35.299999999999997</v>
      </c>
      <c r="Y36" s="57">
        <v>0.08</v>
      </c>
      <c r="Z36" s="59"/>
      <c r="AA36" s="57">
        <v>65.3</v>
      </c>
      <c r="AB36" s="57">
        <v>0.1</v>
      </c>
      <c r="AC36" s="249"/>
      <c r="AD36" s="148">
        <f t="shared" ref="AD36:AD42" si="11">0.5*O36*(L36*1000)^2/(4185000000000)</f>
        <v>0.67656792114695341</v>
      </c>
      <c r="AE36" s="164"/>
      <c r="AF36" s="165"/>
      <c r="AG36" s="165"/>
      <c r="AH36" s="166"/>
      <c r="AI36" s="166"/>
      <c r="AJ36" s="166"/>
      <c r="AK36" s="166"/>
      <c r="AL36" s="166"/>
      <c r="AM36" s="177"/>
      <c r="AN36" s="166" t="s">
        <v>129</v>
      </c>
      <c r="AO36" s="166" t="s">
        <v>134</v>
      </c>
      <c r="AP36" s="60" t="s">
        <v>577</v>
      </c>
      <c r="AQ36" s="60" t="s">
        <v>303</v>
      </c>
      <c r="AR36" s="60" t="s">
        <v>578</v>
      </c>
      <c r="AS36" s="60" t="s">
        <v>579</v>
      </c>
      <c r="AT36" s="60" t="s">
        <v>580</v>
      </c>
      <c r="AU36" s="60" t="s">
        <v>328</v>
      </c>
      <c r="AV36" s="60" t="s">
        <v>581</v>
      </c>
      <c r="AW36" s="60" t="s">
        <v>333</v>
      </c>
      <c r="AX36" s="60" t="s">
        <v>582</v>
      </c>
      <c r="AY36" s="60" t="s">
        <v>320</v>
      </c>
      <c r="AZ36" s="57">
        <v>2.82</v>
      </c>
      <c r="BA36" s="57">
        <v>0.03</v>
      </c>
      <c r="BB36" s="57">
        <v>0.70099999999999996</v>
      </c>
      <c r="BC36" s="57">
        <v>3.0000000000000001E-3</v>
      </c>
      <c r="BD36" s="57">
        <v>6.82</v>
      </c>
      <c r="BE36" s="57">
        <v>0.06</v>
      </c>
      <c r="BF36" s="6">
        <f t="shared" si="5"/>
        <v>0.84318000000000004</v>
      </c>
      <c r="BG36" s="6">
        <f t="shared" si="6"/>
        <v>4.7968200000000003</v>
      </c>
      <c r="BH36" s="57">
        <v>307.25</v>
      </c>
      <c r="BI36" s="57">
        <v>0.16</v>
      </c>
      <c r="BJ36" s="57">
        <v>349.20699999999999</v>
      </c>
      <c r="BK36" s="57">
        <v>1E-3</v>
      </c>
      <c r="BL36" s="91">
        <f t="shared" ref="BL36:BL42" si="12">(5.2/AZ36+2*(AZ36/5.2*(1-BB36^2))^0.5*COS(BD36*3.1415926/180))</f>
        <v>2.8869053010426526</v>
      </c>
      <c r="BM36" s="57"/>
      <c r="BN36" s="57">
        <v>41</v>
      </c>
      <c r="BO36" s="223">
        <v>7.0000000000000001E-3</v>
      </c>
      <c r="BP36" s="61"/>
      <c r="BQ36" s="61">
        <v>42</v>
      </c>
      <c r="BR36" s="61">
        <v>1984</v>
      </c>
      <c r="BS36" s="61">
        <v>42</v>
      </c>
      <c r="BU36" s="214">
        <v>2.1229999999999999E-2</v>
      </c>
      <c r="BV36" s="214">
        <v>8.1600000000000006E-3</v>
      </c>
      <c r="BW36" s="214">
        <v>6.6299999999999996E-3</v>
      </c>
      <c r="BX36" s="214">
        <v>9.0329999999999994E-2</v>
      </c>
      <c r="BY36" s="214">
        <v>1.9300000000000001E-3</v>
      </c>
      <c r="BZ36" s="214">
        <v>8.7600000000000004E-3</v>
      </c>
      <c r="CA36" s="214">
        <v>1.1299999999999999E-3</v>
      </c>
      <c r="CB36" s="214">
        <v>6.8999999999999997E-4</v>
      </c>
      <c r="CC36" s="214">
        <v>0.12712999999999999</v>
      </c>
      <c r="CD36" s="214">
        <v>5.9880000000000003E-2</v>
      </c>
      <c r="CE36" s="214">
        <v>0</v>
      </c>
      <c r="CF36" s="214">
        <v>3.2000000000000003E-4</v>
      </c>
      <c r="CG36" s="214">
        <v>0.84194000000000002</v>
      </c>
      <c r="CH36" s="214">
        <v>0.10736999999999999</v>
      </c>
      <c r="CI36" s="212">
        <f t="shared" si="7"/>
        <v>2.2359999999999998E-2</v>
      </c>
    </row>
    <row r="37" spans="1:87" s="62" customFormat="1" ht="16.5" thickBot="1">
      <c r="A37" s="51" t="s">
        <v>496</v>
      </c>
      <c r="B37" s="51">
        <v>36</v>
      </c>
      <c r="C37" s="52">
        <v>43831</v>
      </c>
      <c r="D37" s="53">
        <v>0.76866782407407408</v>
      </c>
      <c r="E37" s="54"/>
      <c r="F37" s="55">
        <v>44.734169999999999</v>
      </c>
      <c r="G37" s="55">
        <v>10.71916</v>
      </c>
      <c r="H37" s="56">
        <v>44.828609999999998</v>
      </c>
      <c r="I37" s="55">
        <v>10.972</v>
      </c>
      <c r="J37" s="57" t="s">
        <v>497</v>
      </c>
      <c r="K37" s="57">
        <v>1.5</v>
      </c>
      <c r="L37" s="57">
        <v>12.8</v>
      </c>
      <c r="M37" s="57">
        <v>0.2</v>
      </c>
      <c r="N37" s="57">
        <v>4</v>
      </c>
      <c r="O37" s="58">
        <v>3.5</v>
      </c>
      <c r="P37" s="58">
        <v>0.8</v>
      </c>
      <c r="Q37" s="88">
        <f>2*(3*O37/(4*3.1415*$K$174))^0.33333</f>
        <v>0.12291513363879625</v>
      </c>
      <c r="R37" s="57">
        <v>-9.5</v>
      </c>
      <c r="S37" s="57">
        <v>0.5</v>
      </c>
      <c r="T37" s="57">
        <v>32.6</v>
      </c>
      <c r="U37" s="57"/>
      <c r="V37" s="57">
        <v>75.900000000000006</v>
      </c>
      <c r="W37" s="57">
        <v>0.2</v>
      </c>
      <c r="X37" s="57">
        <v>21.5</v>
      </c>
      <c r="Y37" s="57">
        <v>0.1</v>
      </c>
      <c r="Z37" s="59">
        <v>59</v>
      </c>
      <c r="AA37" s="57">
        <v>21.6</v>
      </c>
      <c r="AB37" s="57">
        <v>0.3</v>
      </c>
      <c r="AC37" s="249"/>
      <c r="AD37" s="148">
        <f t="shared" si="11"/>
        <v>6.851135005973716E-5</v>
      </c>
      <c r="AE37" s="164"/>
      <c r="AF37" s="165"/>
      <c r="AG37" s="165"/>
      <c r="AH37" s="166"/>
      <c r="AI37" s="166" t="s">
        <v>569</v>
      </c>
      <c r="AJ37" s="166"/>
      <c r="AK37" s="166" t="s">
        <v>305</v>
      </c>
      <c r="AL37" s="166" t="s">
        <v>570</v>
      </c>
      <c r="AM37" s="172">
        <f t="shared" ref="AM37:AM42" si="13">Z37/AI37</f>
        <v>10.535714285714286</v>
      </c>
      <c r="AN37" s="166" t="s">
        <v>435</v>
      </c>
      <c r="AO37" s="166" t="s">
        <v>131</v>
      </c>
      <c r="AP37" s="60" t="s">
        <v>398</v>
      </c>
      <c r="AQ37" s="60" t="s">
        <v>311</v>
      </c>
      <c r="AR37" s="60" t="s">
        <v>573</v>
      </c>
      <c r="AS37" s="60" t="s">
        <v>311</v>
      </c>
      <c r="AT37" s="60" t="s">
        <v>574</v>
      </c>
      <c r="AU37" s="60" t="s">
        <v>467</v>
      </c>
      <c r="AV37" s="60" t="s">
        <v>575</v>
      </c>
      <c r="AW37" s="60" t="s">
        <v>467</v>
      </c>
      <c r="AX37" s="60" t="s">
        <v>576</v>
      </c>
      <c r="AY37" s="60" t="s">
        <v>309</v>
      </c>
      <c r="AZ37" s="57">
        <v>1.82</v>
      </c>
      <c r="BA37" s="57">
        <v>0.22</v>
      </c>
      <c r="BB37" s="57">
        <v>0.46</v>
      </c>
      <c r="BC37" s="57">
        <v>6.3E-2</v>
      </c>
      <c r="BD37" s="57">
        <v>4</v>
      </c>
      <c r="BE37" s="57">
        <v>1.6</v>
      </c>
      <c r="BF37" s="6">
        <f t="shared" si="5"/>
        <v>0.98280000000000012</v>
      </c>
      <c r="BG37" s="6">
        <f t="shared" si="6"/>
        <v>2.6572</v>
      </c>
      <c r="BH37" s="57">
        <v>179.2</v>
      </c>
      <c r="BI37" s="57">
        <v>4.8</v>
      </c>
      <c r="BJ37" s="57">
        <v>280.52300000000002</v>
      </c>
      <c r="BK37" s="58">
        <v>1.0000000000000001E-5</v>
      </c>
      <c r="BL37" s="91">
        <f t="shared" si="12"/>
        <v>3.9051834775197745</v>
      </c>
      <c r="BM37" s="57"/>
      <c r="BN37" s="57">
        <v>40</v>
      </c>
      <c r="BO37" s="223"/>
      <c r="BP37" s="61"/>
      <c r="BQ37" s="61"/>
      <c r="BR37" s="61">
        <v>3322</v>
      </c>
      <c r="BS37" s="61">
        <v>40</v>
      </c>
      <c r="BU37" s="214">
        <v>0.81169999999999998</v>
      </c>
      <c r="BV37" s="214">
        <v>4.9259999999999998E-2</v>
      </c>
      <c r="BW37" s="214">
        <v>9.0000000000000006E-5</v>
      </c>
      <c r="BX37" s="214">
        <v>1.75E-3</v>
      </c>
      <c r="BY37" s="214">
        <v>8.0000000000000007E-5</v>
      </c>
      <c r="BZ37" s="214">
        <v>2.9E-4</v>
      </c>
      <c r="CA37" s="214">
        <v>0.1183</v>
      </c>
      <c r="CB37" s="214">
        <v>4.1399999999999999E-2</v>
      </c>
      <c r="CC37" s="214">
        <v>6.9830000000000003E-2</v>
      </c>
      <c r="CD37" s="214">
        <v>1.6840000000000001E-2</v>
      </c>
      <c r="CE37" s="214">
        <v>0</v>
      </c>
      <c r="CF37" s="214">
        <v>8.9999999999999998E-4</v>
      </c>
      <c r="CG37" s="214">
        <v>0</v>
      </c>
      <c r="CH37" s="214">
        <v>0</v>
      </c>
      <c r="CI37" s="212">
        <f t="shared" si="7"/>
        <v>0.92999999999999994</v>
      </c>
    </row>
    <row r="38" spans="1:87" s="62" customFormat="1" ht="16.5" thickBot="1">
      <c r="A38" s="105" t="s">
        <v>535</v>
      </c>
      <c r="B38" s="105">
        <v>37</v>
      </c>
      <c r="C38" s="107">
        <v>43889</v>
      </c>
      <c r="D38" s="108">
        <v>0.39620717592592597</v>
      </c>
      <c r="E38" s="109"/>
      <c r="F38" s="110">
        <v>45.440491000000002</v>
      </c>
      <c r="G38" s="110">
        <v>15.323708</v>
      </c>
      <c r="H38" s="111"/>
      <c r="I38" s="110"/>
      <c r="J38" s="106" t="s">
        <v>13</v>
      </c>
      <c r="K38" s="106"/>
      <c r="L38" s="106">
        <v>22.116499999999998</v>
      </c>
      <c r="M38" s="106">
        <v>1.4E-2</v>
      </c>
      <c r="N38" s="106"/>
      <c r="O38" s="112"/>
      <c r="P38" s="113"/>
      <c r="Q38" s="106"/>
      <c r="R38" s="106"/>
      <c r="S38" s="106"/>
      <c r="T38" s="106"/>
      <c r="U38" s="106"/>
      <c r="V38" s="106">
        <v>72.569000000000003</v>
      </c>
      <c r="W38" s="106">
        <v>3.1E-2</v>
      </c>
      <c r="X38" s="106">
        <v>17.07</v>
      </c>
      <c r="Y38" s="106">
        <v>2.5000000000000001E-2</v>
      </c>
      <c r="Z38" s="114"/>
      <c r="AA38" s="106">
        <v>42.142000000000003</v>
      </c>
      <c r="AB38" s="106">
        <v>0.03</v>
      </c>
      <c r="AC38" s="69"/>
      <c r="AD38" s="76"/>
      <c r="AE38" s="164"/>
      <c r="AF38" s="165"/>
      <c r="AG38" s="165"/>
      <c r="AH38" s="166"/>
      <c r="AI38" s="166"/>
      <c r="AJ38" s="166"/>
      <c r="AK38" s="166"/>
      <c r="AL38" s="166"/>
      <c r="AM38" s="177"/>
      <c r="AN38" s="166"/>
      <c r="AO38" s="166" t="s">
        <v>134</v>
      </c>
      <c r="AP38" s="115" t="s">
        <v>560</v>
      </c>
      <c r="AQ38" s="115" t="s">
        <v>302</v>
      </c>
      <c r="AR38" s="115" t="s">
        <v>561</v>
      </c>
      <c r="AS38" s="115" t="s">
        <v>316</v>
      </c>
      <c r="AT38" s="115" t="s">
        <v>562</v>
      </c>
      <c r="AU38" s="115" t="s">
        <v>302</v>
      </c>
      <c r="AV38" s="115" t="s">
        <v>563</v>
      </c>
      <c r="AW38" s="115" t="s">
        <v>564</v>
      </c>
      <c r="AX38" s="115" t="s">
        <v>565</v>
      </c>
      <c r="AY38" s="115" t="s">
        <v>566</v>
      </c>
      <c r="AZ38" s="106">
        <v>1.4550000000000001</v>
      </c>
      <c r="BA38" s="106">
        <v>3.5000000000000001E-3</v>
      </c>
      <c r="BB38" s="106">
        <v>0.609483</v>
      </c>
      <c r="BC38" s="106">
        <v>6.9999999999999999E-4</v>
      </c>
      <c r="BD38" s="106">
        <v>8.7765000000000004</v>
      </c>
      <c r="BE38" s="106">
        <v>2.1000000000000001E-2</v>
      </c>
      <c r="BF38" s="6">
        <f t="shared" si="5"/>
        <v>0.568202235</v>
      </c>
      <c r="BG38" s="6">
        <f t="shared" si="6"/>
        <v>2.3417977649999999</v>
      </c>
      <c r="BH38" s="106">
        <v>82.759</v>
      </c>
      <c r="BI38" s="106">
        <v>0.11</v>
      </c>
      <c r="BJ38" s="106">
        <v>338.99299999999999</v>
      </c>
      <c r="BK38" s="106">
        <v>2.3E-6</v>
      </c>
      <c r="BL38" s="91">
        <f t="shared" si="12"/>
        <v>4.4027940611172482</v>
      </c>
      <c r="BM38" s="106"/>
      <c r="BN38" s="106">
        <v>39</v>
      </c>
      <c r="BO38" s="225"/>
      <c r="BP38" s="116"/>
      <c r="BQ38" s="116"/>
      <c r="BR38" s="116"/>
      <c r="BS38" s="116"/>
      <c r="BU38" s="214">
        <v>0.72687000000000002</v>
      </c>
      <c r="BV38" s="214">
        <v>5.6419999999999998E-2</v>
      </c>
      <c r="BW38" s="214">
        <v>1.9000000000000001E-4</v>
      </c>
      <c r="BX38" s="214">
        <v>3.64E-3</v>
      </c>
      <c r="BY38" s="214">
        <v>1.3999999999999999E-4</v>
      </c>
      <c r="BZ38" s="214">
        <v>5.4000000000000001E-4</v>
      </c>
      <c r="CA38" s="214">
        <v>0.10879</v>
      </c>
      <c r="CB38" s="214">
        <v>3.7039999999999997E-2</v>
      </c>
      <c r="CC38" s="214">
        <v>0.16399</v>
      </c>
      <c r="CD38" s="214">
        <v>3.5560000000000001E-2</v>
      </c>
      <c r="CE38" s="214">
        <v>2.0000000000000002E-5</v>
      </c>
      <c r="CF38" s="214">
        <v>4.96E-3</v>
      </c>
      <c r="CG38" s="214">
        <v>0</v>
      </c>
      <c r="CH38" s="214">
        <v>0</v>
      </c>
      <c r="CI38" s="212">
        <f t="shared" si="7"/>
        <v>0.83566000000000007</v>
      </c>
    </row>
    <row r="39" spans="1:87" ht="16.5" thickBot="1">
      <c r="A39" s="117" t="s">
        <v>538</v>
      </c>
      <c r="B39" s="117">
        <v>38</v>
      </c>
      <c r="C39" s="128">
        <v>44001</v>
      </c>
      <c r="D39" s="180">
        <v>0.83688657407407396</v>
      </c>
      <c r="E39" s="118"/>
      <c r="F39" s="118">
        <v>-31.954999999999998</v>
      </c>
      <c r="G39" s="118">
        <v>126.53700000000001</v>
      </c>
      <c r="H39" s="118">
        <v>-31.96557</v>
      </c>
      <c r="I39" s="118">
        <v>126.98438</v>
      </c>
      <c r="J39" s="117" t="s">
        <v>13</v>
      </c>
      <c r="K39" s="118">
        <v>1.0720000000000001</v>
      </c>
      <c r="L39" s="118">
        <v>14</v>
      </c>
      <c r="M39" s="118">
        <v>0.16500000000000001</v>
      </c>
      <c r="N39" s="118">
        <v>3.7559999999999998</v>
      </c>
      <c r="O39" s="118">
        <v>64</v>
      </c>
      <c r="P39" s="118">
        <v>6</v>
      </c>
      <c r="Q39" s="88">
        <f>2*(3*O39/(4*3.1415*$K$174))^0.33333</f>
        <v>0.32382108766337253</v>
      </c>
      <c r="R39" s="118"/>
      <c r="S39" s="118"/>
      <c r="T39" s="118"/>
      <c r="U39" s="118"/>
      <c r="V39" s="118">
        <v>74.980999999999995</v>
      </c>
      <c r="W39" s="118">
        <v>0.17399999999999999</v>
      </c>
      <c r="X39" s="118">
        <v>18.628</v>
      </c>
      <c r="Y39" s="118">
        <v>0.10100000000000001</v>
      </c>
      <c r="Z39" s="118">
        <v>66.2</v>
      </c>
      <c r="AA39" s="118">
        <v>31.62</v>
      </c>
      <c r="AB39" s="118">
        <v>0.2</v>
      </c>
      <c r="AC39" s="251"/>
      <c r="AD39" s="148">
        <f t="shared" si="11"/>
        <v>1.4986857825567503E-3</v>
      </c>
      <c r="AE39" s="178"/>
      <c r="AF39" s="178"/>
      <c r="AG39" s="178"/>
      <c r="AH39" s="178"/>
      <c r="AI39" s="178">
        <v>5.5</v>
      </c>
      <c r="AJ39" s="178"/>
      <c r="AK39" s="178"/>
      <c r="AL39" s="178"/>
      <c r="AM39" s="172">
        <f t="shared" si="13"/>
        <v>12.036363636363637</v>
      </c>
      <c r="AN39" s="178" t="s">
        <v>82</v>
      </c>
      <c r="AO39" s="178" t="s">
        <v>131</v>
      </c>
      <c r="AP39" s="149">
        <v>299.39999999999998</v>
      </c>
      <c r="AQ39" s="118">
        <v>0.31</v>
      </c>
      <c r="AR39" s="118">
        <v>-24.68</v>
      </c>
      <c r="AS39" s="118">
        <v>0.21</v>
      </c>
      <c r="AT39" s="118">
        <v>291.5</v>
      </c>
      <c r="AU39" s="118">
        <v>0.4</v>
      </c>
      <c r="AV39" s="118">
        <v>-21.6</v>
      </c>
      <c r="AW39" s="118">
        <v>0.3</v>
      </c>
      <c r="AX39" s="118">
        <v>8.8469999999999995</v>
      </c>
      <c r="AY39" s="118">
        <v>0.26700000000000002</v>
      </c>
      <c r="AZ39" s="118">
        <v>0.88900000000000001</v>
      </c>
      <c r="BA39" s="118">
        <v>3.0000000000000001E-3</v>
      </c>
      <c r="BB39" s="118">
        <v>0.32700000000000001</v>
      </c>
      <c r="BC39" s="118">
        <v>8.9999999999999993E-3</v>
      </c>
      <c r="BD39" s="118">
        <v>0.12</v>
      </c>
      <c r="BE39" s="118">
        <v>0.08</v>
      </c>
      <c r="BF39" s="6">
        <f t="shared" si="5"/>
        <v>0.59829700000000008</v>
      </c>
      <c r="BG39" s="6">
        <f t="shared" si="6"/>
        <v>1.1797029999999999</v>
      </c>
      <c r="BH39" s="118">
        <v>312.02</v>
      </c>
      <c r="BI39" s="118">
        <v>0.51</v>
      </c>
      <c r="BJ39" s="118">
        <v>88.703760000000003</v>
      </c>
      <c r="BK39" s="118"/>
      <c r="BL39" s="91">
        <f t="shared" si="12"/>
        <v>6.6307549190276651</v>
      </c>
      <c r="BM39" s="118">
        <v>0.02</v>
      </c>
      <c r="BN39" s="118">
        <v>38</v>
      </c>
      <c r="BO39" s="226"/>
      <c r="BP39" s="118"/>
      <c r="BQ39" s="118"/>
      <c r="BR39" s="118">
        <v>2800</v>
      </c>
      <c r="BS39" s="118">
        <v>38</v>
      </c>
      <c r="BU39" s="211">
        <v>0.76090999999999998</v>
      </c>
      <c r="BV39" s="211">
        <v>6.5860000000000002E-2</v>
      </c>
      <c r="BW39" s="211">
        <v>0</v>
      </c>
      <c r="BX39" s="211">
        <v>0</v>
      </c>
      <c r="BY39" s="211">
        <v>1.2199999999999999E-3</v>
      </c>
      <c r="BZ39" s="211">
        <v>4.5999999999999999E-3</v>
      </c>
      <c r="CA39" s="211">
        <v>0.20118</v>
      </c>
      <c r="CB39" s="211">
        <v>6.3399999999999998E-2</v>
      </c>
      <c r="CC39" s="211">
        <v>3.669E-2</v>
      </c>
      <c r="CD39" s="211">
        <v>8.77E-3</v>
      </c>
      <c r="CE39" s="211">
        <v>1.0000000000000001E-5</v>
      </c>
      <c r="CF39" s="211">
        <v>2.1099999999999999E-3</v>
      </c>
      <c r="CG39" s="211">
        <v>0</v>
      </c>
      <c r="CH39" s="211">
        <v>0</v>
      </c>
      <c r="CI39" s="212">
        <f t="shared" si="7"/>
        <v>0.96209</v>
      </c>
    </row>
    <row r="40" spans="1:87" ht="16.5" thickBot="1">
      <c r="A40" s="117" t="s">
        <v>540</v>
      </c>
      <c r="B40" s="117">
        <v>39</v>
      </c>
      <c r="C40" s="128">
        <v>44214</v>
      </c>
      <c r="D40" s="179">
        <v>1.3154398148148149E-2</v>
      </c>
      <c r="E40" s="118"/>
      <c r="F40" s="118">
        <v>42.774880000000003</v>
      </c>
      <c r="G40" s="118">
        <v>-7.1993999999999998</v>
      </c>
      <c r="H40" s="118"/>
      <c r="I40" s="118"/>
      <c r="J40" s="117" t="s">
        <v>13</v>
      </c>
      <c r="K40" s="118">
        <v>0.52700000000000002</v>
      </c>
      <c r="L40" s="118">
        <v>16.420000000000002</v>
      </c>
      <c r="M40" s="118">
        <v>0.28999999999999998</v>
      </c>
      <c r="N40" s="118">
        <v>2.38</v>
      </c>
      <c r="O40" s="118">
        <v>2620</v>
      </c>
      <c r="P40" s="118">
        <v>630</v>
      </c>
      <c r="Q40" s="88">
        <f>2*(3*O40/(4*3.1415*$K$174))^0.33333</f>
        <v>1.1160239787157051</v>
      </c>
      <c r="R40" s="118"/>
      <c r="S40" s="118"/>
      <c r="T40" s="118"/>
      <c r="U40" s="118"/>
      <c r="V40" s="118">
        <v>75.150000000000006</v>
      </c>
      <c r="W40" s="118">
        <v>0.31</v>
      </c>
      <c r="X40" s="118">
        <v>15.8</v>
      </c>
      <c r="Y40" s="118">
        <v>0.04</v>
      </c>
      <c r="Z40" s="118">
        <v>60.98</v>
      </c>
      <c r="AA40" s="118">
        <v>13.295</v>
      </c>
      <c r="AB40" s="118">
        <v>2E-3</v>
      </c>
      <c r="AC40" s="251"/>
      <c r="AD40" s="148">
        <f t="shared" si="11"/>
        <v>8.439605352449224E-2</v>
      </c>
      <c r="AE40" s="178">
        <v>0.02</v>
      </c>
      <c r="AF40" s="178"/>
      <c r="AG40" s="178"/>
      <c r="AH40" s="178"/>
      <c r="AI40" s="178">
        <v>4.84</v>
      </c>
      <c r="AJ40" s="178">
        <v>0.06</v>
      </c>
      <c r="AK40" s="178">
        <v>7.9</v>
      </c>
      <c r="AL40" s="178">
        <v>21.5</v>
      </c>
      <c r="AM40" s="172">
        <f t="shared" si="13"/>
        <v>12.599173553719009</v>
      </c>
      <c r="AN40" s="178" t="s">
        <v>555</v>
      </c>
      <c r="AO40" s="178" t="s">
        <v>131</v>
      </c>
      <c r="AP40" s="149">
        <v>125.49</v>
      </c>
      <c r="AQ40" s="118">
        <v>0.51</v>
      </c>
      <c r="AR40" s="118">
        <v>32.334000000000003</v>
      </c>
      <c r="AS40" s="118">
        <v>8.7999999999999995E-2</v>
      </c>
      <c r="AT40" s="118">
        <v>126.52</v>
      </c>
      <c r="AU40" s="118">
        <v>0.56999999999999995</v>
      </c>
      <c r="AV40" s="118">
        <v>30.77</v>
      </c>
      <c r="AW40" s="118">
        <v>0.13</v>
      </c>
      <c r="AX40" s="118">
        <v>12.11</v>
      </c>
      <c r="AY40" s="118">
        <v>0.4</v>
      </c>
      <c r="AZ40" s="118">
        <v>1.125</v>
      </c>
      <c r="BA40" s="118">
        <v>1.6E-2</v>
      </c>
      <c r="BB40" s="118">
        <v>0.38600000000000001</v>
      </c>
      <c r="BC40" s="118">
        <v>1.2999999999999999E-2</v>
      </c>
      <c r="BD40" s="118">
        <v>4.55</v>
      </c>
      <c r="BE40" s="118">
        <v>0.19</v>
      </c>
      <c r="BF40" s="6">
        <f t="shared" si="5"/>
        <v>0.69074999999999998</v>
      </c>
      <c r="BG40" s="6">
        <f t="shared" si="6"/>
        <v>1.55925</v>
      </c>
      <c r="BH40" s="118">
        <v>273.93</v>
      </c>
      <c r="BI40" s="118">
        <v>0.98</v>
      </c>
      <c r="BJ40" s="118">
        <v>297.827</v>
      </c>
      <c r="BK40" s="118">
        <v>2.9999999999999997E-4</v>
      </c>
      <c r="BL40" s="91">
        <f t="shared" si="12"/>
        <v>5.4776818910576646</v>
      </c>
      <c r="BM40" s="118">
        <v>0.06</v>
      </c>
      <c r="BN40" s="118">
        <v>37</v>
      </c>
      <c r="BO40" s="226"/>
      <c r="BP40" s="118"/>
      <c r="BQ40" s="118"/>
      <c r="BR40" s="118">
        <v>3250</v>
      </c>
      <c r="BS40" s="118">
        <v>37</v>
      </c>
      <c r="BU40" s="211">
        <v>0.74758999999999998</v>
      </c>
      <c r="BV40" s="211">
        <v>6.1760000000000002E-2</v>
      </c>
      <c r="BW40" s="211">
        <v>1E-4</v>
      </c>
      <c r="BX40" s="211">
        <v>1.89E-3</v>
      </c>
      <c r="BY40" s="211">
        <v>1.0000000000000001E-5</v>
      </c>
      <c r="BZ40" s="211">
        <v>4.0000000000000003E-5</v>
      </c>
      <c r="CA40" s="211">
        <v>0.17477000000000001</v>
      </c>
      <c r="CB40" s="211">
        <v>5.6270000000000001E-2</v>
      </c>
      <c r="CC40" s="211">
        <v>7.7509999999999996E-2</v>
      </c>
      <c r="CD40" s="211">
        <v>1.7930000000000001E-2</v>
      </c>
      <c r="CE40" s="211">
        <v>2.0000000000000002E-5</v>
      </c>
      <c r="CF40" s="211">
        <v>5.6299999999999996E-3</v>
      </c>
      <c r="CG40" s="211">
        <v>0</v>
      </c>
      <c r="CH40" s="211">
        <v>0</v>
      </c>
      <c r="CI40" s="212">
        <f t="shared" si="7"/>
        <v>0.92235999999999996</v>
      </c>
    </row>
    <row r="41" spans="1:87" s="62" customFormat="1" ht="16.5" thickBot="1">
      <c r="A41" s="190" t="s">
        <v>539</v>
      </c>
      <c r="B41" s="191">
        <v>40</v>
      </c>
      <c r="C41" s="192">
        <v>44255</v>
      </c>
      <c r="D41" s="193">
        <v>0.91268518518518515</v>
      </c>
      <c r="E41" s="194"/>
      <c r="F41" s="195">
        <v>51.87106</v>
      </c>
      <c r="G41" s="195">
        <v>-3.1093199999999999</v>
      </c>
      <c r="H41" s="196"/>
      <c r="I41" s="195"/>
      <c r="J41" s="191" t="s">
        <v>93</v>
      </c>
      <c r="K41" s="191">
        <v>0.53149999999999997</v>
      </c>
      <c r="L41" s="191">
        <v>13.5</v>
      </c>
      <c r="M41" s="191">
        <v>0.1</v>
      </c>
      <c r="N41" s="191">
        <v>3</v>
      </c>
      <c r="O41" s="197">
        <v>13</v>
      </c>
      <c r="P41" s="197">
        <v>3</v>
      </c>
      <c r="Q41" s="198">
        <f>2*(3*O41/(4*3.1415*$K$174))^0.33333</f>
        <v>0.19035395037883912</v>
      </c>
      <c r="R41" s="191">
        <v>-10.5</v>
      </c>
      <c r="S41" s="191"/>
      <c r="T41" s="191">
        <v>54</v>
      </c>
      <c r="U41" s="191">
        <v>1</v>
      </c>
      <c r="V41" s="191">
        <v>90.6</v>
      </c>
      <c r="W41" s="191">
        <v>3.7999999999999999E-2</v>
      </c>
      <c r="X41" s="191">
        <v>27.55</v>
      </c>
      <c r="Y41" s="191">
        <v>2.8000000000000001E-2</v>
      </c>
      <c r="Z41" s="194">
        <v>96.6</v>
      </c>
      <c r="AA41" s="191">
        <v>48.08</v>
      </c>
      <c r="AB41" s="191">
        <v>0.03</v>
      </c>
      <c r="AC41" s="69"/>
      <c r="AD41" s="182">
        <f t="shared" si="11"/>
        <v>2.8306451612903228E-4</v>
      </c>
      <c r="AE41" s="199"/>
      <c r="AF41" s="200"/>
      <c r="AG41" s="200"/>
      <c r="AH41" s="201"/>
      <c r="AI41" s="202" t="s">
        <v>548</v>
      </c>
      <c r="AJ41" s="201"/>
      <c r="AK41" s="201" t="s">
        <v>310</v>
      </c>
      <c r="AL41" s="201" t="s">
        <v>547</v>
      </c>
      <c r="AM41" s="203">
        <f t="shared" si="13"/>
        <v>11.723300970873785</v>
      </c>
      <c r="AN41" s="201" t="s">
        <v>435</v>
      </c>
      <c r="AO41" s="201" t="s">
        <v>131</v>
      </c>
      <c r="AP41" s="204"/>
      <c r="AQ41" s="205"/>
      <c r="AR41" s="205"/>
      <c r="AS41" s="205"/>
      <c r="AT41" s="205" t="s">
        <v>549</v>
      </c>
      <c r="AU41" s="205" t="s">
        <v>473</v>
      </c>
      <c r="AV41" s="205" t="s">
        <v>550</v>
      </c>
      <c r="AW41" s="205" t="s">
        <v>484</v>
      </c>
      <c r="AX41" s="205" t="s">
        <v>551</v>
      </c>
      <c r="AY41" s="205" t="s">
        <v>552</v>
      </c>
      <c r="AZ41" s="191">
        <v>2.5855000000000001</v>
      </c>
      <c r="BA41" s="191">
        <v>7.7000000000000002E-3</v>
      </c>
      <c r="BB41" s="191">
        <v>0.61829999999999996</v>
      </c>
      <c r="BC41" s="191">
        <v>1.1000000000000001E-3</v>
      </c>
      <c r="BD41" s="191">
        <v>0.46</v>
      </c>
      <c r="BE41" s="191">
        <v>1.4E-2</v>
      </c>
      <c r="BF41" s="6">
        <f t="shared" si="5"/>
        <v>0.98688535000000011</v>
      </c>
      <c r="BG41" s="6">
        <f t="shared" si="6"/>
        <v>4.1841146500000006</v>
      </c>
      <c r="BH41" s="191">
        <v>351.798</v>
      </c>
      <c r="BI41" s="191">
        <v>1.7999999999999999E-2</v>
      </c>
      <c r="BJ41" s="191">
        <v>160.19550000000001</v>
      </c>
      <c r="BK41" s="191">
        <v>1.4E-3</v>
      </c>
      <c r="BL41" s="208">
        <f t="shared" si="12"/>
        <v>3.1195670869463514</v>
      </c>
      <c r="BM41" s="191">
        <v>6.0000000000000001E-3</v>
      </c>
      <c r="BN41" s="191">
        <v>36</v>
      </c>
      <c r="BO41" s="227">
        <v>0.27</v>
      </c>
      <c r="BP41" s="209">
        <v>0.08</v>
      </c>
      <c r="BQ41" s="209">
        <v>36</v>
      </c>
      <c r="BR41" s="209">
        <v>2100</v>
      </c>
      <c r="BS41" s="209">
        <v>36</v>
      </c>
      <c r="BU41" s="214">
        <v>0.20616999999999999</v>
      </c>
      <c r="BV41" s="214">
        <v>4.2360000000000002E-2</v>
      </c>
      <c r="BW41" s="214">
        <v>9.3999999999999997E-4</v>
      </c>
      <c r="BX41" s="214">
        <v>1.7569999999999999E-2</v>
      </c>
      <c r="BY41" s="214">
        <v>4.8000000000000001E-4</v>
      </c>
      <c r="BZ41" s="214">
        <v>1.8699999999999999E-3</v>
      </c>
      <c r="CA41" s="214">
        <v>9.7800000000000005E-3</v>
      </c>
      <c r="CB41" s="214">
        <v>3.5400000000000002E-3</v>
      </c>
      <c r="CC41" s="214">
        <v>0.65098</v>
      </c>
      <c r="CD41" s="214">
        <v>7.3660000000000003E-2</v>
      </c>
      <c r="CE41" s="214">
        <v>0</v>
      </c>
      <c r="CF41" s="214">
        <v>2.3000000000000001E-4</v>
      </c>
      <c r="CG41" s="214">
        <v>0.13164000000000001</v>
      </c>
      <c r="CH41" s="214">
        <v>4.6260000000000003E-2</v>
      </c>
      <c r="CI41" s="212">
        <f t="shared" si="7"/>
        <v>0.21595</v>
      </c>
    </row>
    <row r="42" spans="1:87" s="62" customFormat="1" ht="16.5" thickBot="1">
      <c r="A42" s="119" t="s">
        <v>650</v>
      </c>
      <c r="B42" s="117">
        <v>41</v>
      </c>
      <c r="C42" s="120">
        <v>44392</v>
      </c>
      <c r="D42" s="121">
        <v>0.12512731481481482</v>
      </c>
      <c r="E42" s="122"/>
      <c r="F42" s="123">
        <v>51.5852</v>
      </c>
      <c r="G42" s="123">
        <v>17.2927</v>
      </c>
      <c r="H42" s="124">
        <v>51.513500000000001</v>
      </c>
      <c r="I42" s="123">
        <v>17.904699999999998</v>
      </c>
      <c r="J42" s="117" t="s">
        <v>13</v>
      </c>
      <c r="K42" s="117">
        <v>0.35199999999999998</v>
      </c>
      <c r="L42" s="117">
        <v>17.68</v>
      </c>
      <c r="M42" s="117">
        <v>0.01</v>
      </c>
      <c r="N42" s="117"/>
      <c r="O42" s="125">
        <v>200</v>
      </c>
      <c r="P42" s="125"/>
      <c r="Q42" s="117"/>
      <c r="R42" s="117">
        <v>-15</v>
      </c>
      <c r="S42" s="117">
        <v>1.7</v>
      </c>
      <c r="T42" s="117">
        <v>25</v>
      </c>
      <c r="U42" s="117"/>
      <c r="V42" s="117">
        <v>73.92</v>
      </c>
      <c r="W42" s="117"/>
      <c r="X42" s="117">
        <v>24.96</v>
      </c>
      <c r="Y42" s="117"/>
      <c r="Z42" s="117">
        <v>61.8</v>
      </c>
      <c r="AA42" s="117">
        <v>37.450000000000003</v>
      </c>
      <c r="AB42" s="117"/>
      <c r="AC42" s="69"/>
      <c r="AD42" s="182">
        <f t="shared" si="11"/>
        <v>7.4691135005973712E-3</v>
      </c>
      <c r="AE42" s="178"/>
      <c r="AF42" s="207"/>
      <c r="AG42" s="207"/>
      <c r="AH42" s="126"/>
      <c r="AI42" s="126" t="s">
        <v>652</v>
      </c>
      <c r="AJ42" s="126"/>
      <c r="AK42" s="126" t="s">
        <v>651</v>
      </c>
      <c r="AL42" s="126"/>
      <c r="AM42" s="203">
        <f t="shared" si="13"/>
        <v>16.978021978021978</v>
      </c>
      <c r="AN42" s="126" t="s">
        <v>129</v>
      </c>
      <c r="AO42" s="126" t="s">
        <v>134</v>
      </c>
      <c r="AP42" s="126"/>
      <c r="AQ42" s="126"/>
      <c r="AR42" s="126"/>
      <c r="AS42" s="126"/>
      <c r="AT42" s="126" t="s">
        <v>653</v>
      </c>
      <c r="AU42" s="126" t="s">
        <v>316</v>
      </c>
      <c r="AV42" s="126" t="s">
        <v>654</v>
      </c>
      <c r="AW42" s="126" t="s">
        <v>317</v>
      </c>
      <c r="AX42" s="126" t="s">
        <v>655</v>
      </c>
      <c r="AY42" s="126" t="s">
        <v>316</v>
      </c>
      <c r="AZ42" s="117">
        <v>1.1269</v>
      </c>
      <c r="BA42" s="117">
        <v>6.9999999999999999E-4</v>
      </c>
      <c r="BB42" s="117">
        <v>0.22850000000000001</v>
      </c>
      <c r="BC42" s="117">
        <v>5.9999999999999995E-4</v>
      </c>
      <c r="BD42" s="117">
        <v>24.22</v>
      </c>
      <c r="BE42" s="117">
        <v>0.05</v>
      </c>
      <c r="BF42" s="6">
        <f t="shared" si="5"/>
        <v>0.86940335000000002</v>
      </c>
      <c r="BG42" s="6">
        <f t="shared" si="6"/>
        <v>1.38439665</v>
      </c>
      <c r="BH42" s="117">
        <v>257.16000000000003</v>
      </c>
      <c r="BI42" s="117">
        <v>0.09</v>
      </c>
      <c r="BJ42" s="117">
        <v>112.58069999999999</v>
      </c>
      <c r="BK42" s="117">
        <v>1E-4</v>
      </c>
      <c r="BL42" s="206">
        <f t="shared" si="12"/>
        <v>5.4410575734556428</v>
      </c>
      <c r="BM42" s="117">
        <v>3.0000000000000001E-3</v>
      </c>
      <c r="BN42" s="117">
        <v>60</v>
      </c>
      <c r="BO42" s="228"/>
      <c r="BP42" s="127"/>
      <c r="BQ42" s="127"/>
      <c r="BR42" s="127">
        <v>3420</v>
      </c>
      <c r="BS42" s="127">
        <v>60</v>
      </c>
      <c r="BU42" s="214">
        <v>0.63238000000000005</v>
      </c>
      <c r="BV42" s="214">
        <v>7.4810000000000001E-2</v>
      </c>
      <c r="BW42" s="214">
        <v>1.0000000000000001E-5</v>
      </c>
      <c r="BX42" s="214">
        <v>2.0000000000000001E-4</v>
      </c>
      <c r="BY42" s="214">
        <v>0</v>
      </c>
      <c r="BZ42" s="214">
        <v>0</v>
      </c>
      <c r="CA42" s="214">
        <v>0.25118000000000001</v>
      </c>
      <c r="CB42" s="214">
        <v>7.1419999999999997E-2</v>
      </c>
      <c r="CC42" s="214">
        <v>0.11638999999999999</v>
      </c>
      <c r="CD42" s="214">
        <v>2.503E-2</v>
      </c>
      <c r="CE42" s="214">
        <v>4.0000000000000003E-5</v>
      </c>
      <c r="CF42" s="214">
        <v>1.0829999999999999E-2</v>
      </c>
      <c r="CG42" s="214">
        <v>0</v>
      </c>
      <c r="CH42" s="214">
        <v>0</v>
      </c>
      <c r="CI42" s="212">
        <f t="shared" si="7"/>
        <v>0.88356000000000012</v>
      </c>
    </row>
    <row r="43" spans="1:87" s="62" customFormat="1" ht="15.75">
      <c r="B43" s="69"/>
      <c r="C43" s="70"/>
      <c r="D43" s="71"/>
      <c r="E43" s="72"/>
      <c r="F43" s="73"/>
      <c r="G43" s="73"/>
      <c r="H43" s="74"/>
      <c r="I43" s="73"/>
      <c r="J43" s="69"/>
      <c r="K43" s="69"/>
      <c r="L43" s="69"/>
      <c r="M43" s="69"/>
      <c r="N43" s="69"/>
      <c r="O43" s="75"/>
      <c r="P43" s="75"/>
      <c r="Q43" s="69"/>
      <c r="R43" s="69"/>
      <c r="S43" s="69"/>
      <c r="T43" s="69"/>
      <c r="U43" s="69"/>
      <c r="V43" s="69"/>
      <c r="W43" s="69"/>
      <c r="X43" s="69"/>
      <c r="Y43" s="69"/>
      <c r="Z43" s="69"/>
      <c r="AA43" s="69"/>
      <c r="AB43" s="69"/>
      <c r="AC43" s="69"/>
      <c r="AD43" s="76"/>
      <c r="AE43" s="69"/>
      <c r="AF43" s="77"/>
      <c r="AG43" s="77"/>
      <c r="AH43" s="78"/>
      <c r="AI43" s="78"/>
      <c r="AJ43" s="78"/>
      <c r="AK43" s="78"/>
      <c r="AL43" s="78"/>
      <c r="AM43" s="78"/>
      <c r="AN43" s="78"/>
      <c r="AO43" s="78"/>
      <c r="AP43" s="78"/>
      <c r="AQ43" s="78"/>
      <c r="AR43" s="78"/>
      <c r="AS43" s="78"/>
      <c r="AT43" s="78"/>
      <c r="AU43" s="78"/>
      <c r="AV43" s="78"/>
      <c r="AW43" s="78"/>
      <c r="AX43" s="78"/>
      <c r="AY43" s="78"/>
      <c r="AZ43" s="69"/>
      <c r="BA43" s="69"/>
      <c r="BB43" s="69"/>
      <c r="BC43" s="69"/>
      <c r="BD43" s="69"/>
      <c r="BE43" s="69"/>
      <c r="BF43" s="69"/>
      <c r="BG43" s="69"/>
      <c r="BH43" s="69"/>
      <c r="BI43" s="69"/>
      <c r="BJ43" s="69"/>
      <c r="BK43" s="69"/>
      <c r="BL43" s="76"/>
      <c r="BM43" s="69"/>
      <c r="BN43" s="69"/>
      <c r="BO43" s="229"/>
      <c r="BP43" s="79"/>
      <c r="BQ43" s="79"/>
      <c r="BR43" s="79"/>
      <c r="BS43" s="79"/>
    </row>
    <row r="44" spans="1:87" s="62" customFormat="1" ht="15.75">
      <c r="B44" s="69"/>
      <c r="C44" s="70"/>
      <c r="D44" s="71"/>
      <c r="E44" s="72"/>
      <c r="F44" s="73"/>
      <c r="G44" s="73"/>
      <c r="H44" s="74"/>
      <c r="I44" s="73"/>
      <c r="J44" s="69"/>
      <c r="K44" s="69"/>
      <c r="L44" s="69"/>
      <c r="M44" s="69"/>
      <c r="N44" s="69"/>
      <c r="O44" s="75"/>
      <c r="P44" s="75"/>
      <c r="Q44" s="69"/>
      <c r="R44" s="69"/>
      <c r="S44" s="69"/>
      <c r="T44" s="69"/>
      <c r="U44" s="69"/>
      <c r="V44" s="69"/>
      <c r="W44" s="69"/>
      <c r="X44" s="69"/>
      <c r="Y44" s="69"/>
      <c r="Z44" s="69"/>
      <c r="AA44" s="69"/>
      <c r="AB44" s="69"/>
      <c r="AC44" s="69"/>
      <c r="AD44" s="76"/>
      <c r="AE44" s="69"/>
      <c r="AF44" s="77"/>
      <c r="AG44" s="77"/>
      <c r="AH44" s="78"/>
      <c r="AI44" s="78"/>
      <c r="AJ44" s="78"/>
      <c r="AK44" s="78"/>
      <c r="AL44" s="78"/>
      <c r="AM44" s="78"/>
      <c r="AN44" s="78"/>
      <c r="AO44" s="78"/>
      <c r="AP44" s="78"/>
      <c r="AQ44" s="78"/>
      <c r="AR44" s="78"/>
      <c r="AS44" s="78"/>
      <c r="AT44" s="78"/>
      <c r="AU44" s="78"/>
      <c r="AV44" s="78"/>
      <c r="AW44" s="78"/>
      <c r="AX44" s="78"/>
      <c r="AY44" s="78"/>
      <c r="AZ44" s="69"/>
      <c r="BA44" s="69"/>
      <c r="BB44" s="69"/>
      <c r="BC44" s="69"/>
      <c r="BD44" s="69"/>
      <c r="BE44" s="69"/>
      <c r="BF44" s="69"/>
      <c r="BG44" s="69"/>
      <c r="BH44" s="69"/>
      <c r="BI44" s="69"/>
      <c r="BJ44" s="69"/>
      <c r="BK44" s="69"/>
      <c r="BL44" s="76"/>
      <c r="BM44" s="69"/>
      <c r="BN44" s="69"/>
      <c r="BO44" s="229"/>
      <c r="BP44" s="79"/>
      <c r="BQ44" s="79"/>
      <c r="BR44" s="79"/>
      <c r="BS44" s="79"/>
    </row>
    <row r="45" spans="1:87" s="62" customFormat="1" ht="15.75">
      <c r="B45" s="69"/>
      <c r="C45" s="70"/>
      <c r="D45" s="71"/>
      <c r="E45" s="72"/>
      <c r="F45" s="73"/>
      <c r="G45" s="73"/>
      <c r="H45" s="74"/>
      <c r="I45" s="73"/>
      <c r="J45" s="69"/>
      <c r="K45" s="69"/>
      <c r="L45" s="69"/>
      <c r="M45" s="69"/>
      <c r="N45" s="69"/>
      <c r="O45" s="75"/>
      <c r="P45" s="75"/>
      <c r="Q45" s="69"/>
      <c r="R45" s="69"/>
      <c r="S45" s="69"/>
      <c r="T45" s="69"/>
      <c r="U45" s="69"/>
      <c r="V45" s="69"/>
      <c r="W45" s="69"/>
      <c r="X45" s="69"/>
      <c r="Y45" s="69"/>
      <c r="Z45" s="69"/>
      <c r="AA45" s="69"/>
      <c r="AB45" s="69"/>
      <c r="AC45" s="69"/>
      <c r="AD45" s="76"/>
      <c r="AE45" s="69"/>
      <c r="AF45" s="77"/>
      <c r="AG45" s="77"/>
      <c r="AH45" s="78"/>
      <c r="AI45" s="78"/>
      <c r="AJ45" s="78"/>
      <c r="AK45" s="78"/>
      <c r="AL45" s="78"/>
      <c r="AM45" s="78"/>
      <c r="AN45" s="78"/>
      <c r="AO45" s="78"/>
      <c r="AP45" s="78"/>
      <c r="AQ45" s="78"/>
      <c r="AR45" s="78"/>
      <c r="AS45" s="78"/>
      <c r="AT45" s="78"/>
      <c r="AU45" s="78"/>
      <c r="AV45" s="78"/>
      <c r="AW45" s="78"/>
      <c r="AX45" s="78"/>
      <c r="AY45" s="78"/>
      <c r="AZ45" s="69"/>
      <c r="BA45" s="69"/>
      <c r="BB45" s="69"/>
      <c r="BC45" s="69"/>
      <c r="BD45" s="69"/>
      <c r="BE45" s="69"/>
      <c r="BF45" s="69"/>
      <c r="BG45" s="69"/>
      <c r="BH45" s="69"/>
      <c r="BI45" s="69"/>
      <c r="BJ45" s="69"/>
      <c r="BK45" s="69"/>
      <c r="BL45" s="76"/>
      <c r="BM45" s="69"/>
      <c r="BN45" s="69"/>
      <c r="BO45" s="229"/>
      <c r="BP45" s="79"/>
      <c r="BQ45" s="79"/>
      <c r="BR45" s="79"/>
      <c r="BS45" s="79"/>
    </row>
    <row r="46" spans="1:87" s="62" customFormat="1" ht="15.75">
      <c r="B46" s="69"/>
      <c r="C46" s="70"/>
      <c r="D46" s="71"/>
      <c r="E46" s="72"/>
      <c r="F46" s="73"/>
      <c r="G46" s="73"/>
      <c r="H46" s="74"/>
      <c r="I46" s="73"/>
      <c r="J46" s="69"/>
      <c r="K46" s="69"/>
      <c r="L46" s="69"/>
      <c r="M46" s="69"/>
      <c r="N46" s="69"/>
      <c r="O46" s="75"/>
      <c r="P46" s="75"/>
      <c r="Q46" s="69"/>
      <c r="R46" s="69"/>
      <c r="S46" s="69"/>
      <c r="T46" s="69"/>
      <c r="U46" s="69"/>
      <c r="V46" s="69"/>
      <c r="W46" s="69"/>
      <c r="X46" s="69"/>
      <c r="Y46" s="69"/>
      <c r="Z46" s="69"/>
      <c r="AA46" s="69"/>
      <c r="AB46" s="69"/>
      <c r="AC46" s="69"/>
      <c r="AD46" s="76"/>
      <c r="AE46" s="69"/>
      <c r="AF46" s="77"/>
      <c r="AG46" s="77"/>
      <c r="AH46" s="78"/>
      <c r="AI46" s="78"/>
      <c r="AJ46" s="78"/>
      <c r="AK46" s="78"/>
      <c r="AL46" s="78"/>
      <c r="AM46" s="78"/>
      <c r="AN46" s="78"/>
      <c r="AO46" s="78"/>
      <c r="AP46" s="78"/>
      <c r="AQ46" s="78"/>
      <c r="AR46" s="78"/>
      <c r="AS46" s="78"/>
      <c r="AT46" s="78"/>
      <c r="AU46" s="78"/>
      <c r="AV46" s="78"/>
      <c r="AW46" s="78"/>
      <c r="AX46" s="78"/>
      <c r="AY46" s="78"/>
      <c r="AZ46" s="69"/>
      <c r="BA46" s="69"/>
      <c r="BB46" s="69"/>
      <c r="BC46" s="69"/>
      <c r="BD46" s="69"/>
      <c r="BE46" s="69"/>
      <c r="BF46" s="69"/>
      <c r="BG46" s="69"/>
      <c r="BH46" s="69"/>
      <c r="BI46" s="69"/>
      <c r="BJ46" s="69"/>
      <c r="BK46" s="69"/>
      <c r="BL46" s="76"/>
      <c r="BM46" s="69"/>
      <c r="BN46" s="69"/>
      <c r="BO46" s="229"/>
      <c r="BP46" s="79"/>
      <c r="BQ46" s="79"/>
      <c r="BR46" s="79"/>
      <c r="BS46" s="79"/>
    </row>
    <row r="47" spans="1:87" s="62" customFormat="1" ht="15.75">
      <c r="B47" s="69"/>
      <c r="C47" s="70"/>
      <c r="D47" s="71"/>
      <c r="E47" s="72"/>
      <c r="F47" s="73"/>
      <c r="G47" s="73"/>
      <c r="H47" s="74"/>
      <c r="I47" s="73"/>
      <c r="J47" s="69"/>
      <c r="K47" s="69"/>
      <c r="L47" s="69"/>
      <c r="M47" s="69"/>
      <c r="N47" s="69"/>
      <c r="O47" s="75"/>
      <c r="P47" s="75"/>
      <c r="Q47" s="69"/>
      <c r="R47" s="69"/>
      <c r="S47" s="69"/>
      <c r="T47" s="69"/>
      <c r="U47" s="69"/>
      <c r="V47" s="69"/>
      <c r="W47" s="69"/>
      <c r="X47" s="69"/>
      <c r="Y47" s="69"/>
      <c r="Z47" s="69"/>
      <c r="AA47" s="69"/>
      <c r="AB47" s="69"/>
      <c r="AC47" s="69"/>
      <c r="AD47" s="76"/>
      <c r="AE47" s="69"/>
      <c r="AF47" s="77"/>
      <c r="AG47" s="77"/>
      <c r="AH47" s="78"/>
      <c r="AI47" s="78"/>
      <c r="AJ47" s="78"/>
      <c r="AK47" s="78"/>
      <c r="AL47" s="78"/>
      <c r="AM47" s="78"/>
      <c r="AN47" s="78"/>
      <c r="AO47" s="78"/>
      <c r="AP47" s="78"/>
      <c r="AQ47" s="78"/>
      <c r="AR47" s="78"/>
      <c r="AS47" s="78"/>
      <c r="AT47" s="78"/>
      <c r="AU47" s="78"/>
      <c r="AV47" s="78"/>
      <c r="AW47" s="78"/>
      <c r="AX47" s="78"/>
      <c r="AY47" s="78"/>
      <c r="AZ47" s="69"/>
      <c r="BA47" s="69"/>
      <c r="BB47" s="69"/>
      <c r="BC47" s="69"/>
      <c r="BD47" s="69"/>
      <c r="BE47" s="69"/>
      <c r="BF47" s="69"/>
      <c r="BG47" s="69"/>
      <c r="BH47" s="69"/>
      <c r="BI47" s="69"/>
      <c r="BJ47" s="69"/>
      <c r="BK47" s="69"/>
      <c r="BL47" s="76"/>
      <c r="BM47" s="69"/>
      <c r="BN47" s="69"/>
      <c r="BO47" s="229"/>
      <c r="BP47" s="79"/>
      <c r="BQ47" s="79"/>
      <c r="BR47" s="79"/>
      <c r="BS47" s="79"/>
    </row>
    <row r="48" spans="1:87" s="62" customFormat="1" ht="15.75">
      <c r="B48" s="69"/>
      <c r="C48" s="70"/>
      <c r="D48" s="71"/>
      <c r="E48" s="72"/>
      <c r="F48" s="73"/>
      <c r="G48" s="73"/>
      <c r="H48" s="74"/>
      <c r="I48" s="73"/>
      <c r="J48" s="69"/>
      <c r="K48" s="69"/>
      <c r="L48" s="69"/>
      <c r="M48" s="69"/>
      <c r="N48" s="69"/>
      <c r="O48" s="75"/>
      <c r="P48" s="75"/>
      <c r="Q48" s="69"/>
      <c r="R48" s="69"/>
      <c r="S48" s="69"/>
      <c r="T48" s="69"/>
      <c r="U48" s="69"/>
      <c r="V48" s="69"/>
      <c r="W48" s="69"/>
      <c r="X48" s="69"/>
      <c r="Y48" s="69"/>
      <c r="Z48" s="69"/>
      <c r="AA48" s="69"/>
      <c r="AB48" s="69"/>
      <c r="AC48" s="69"/>
      <c r="AD48" s="76"/>
      <c r="AE48" s="69"/>
      <c r="AF48" s="77"/>
      <c r="AG48" s="77"/>
      <c r="AH48" s="78"/>
      <c r="AI48" s="78"/>
      <c r="AJ48" s="78"/>
      <c r="AK48" s="78"/>
      <c r="AL48" s="78"/>
      <c r="AM48" s="78"/>
      <c r="AN48" s="78"/>
      <c r="AO48" s="78"/>
      <c r="AP48" s="78"/>
      <c r="AQ48" s="78"/>
      <c r="AR48" s="78"/>
      <c r="AS48" s="78"/>
      <c r="AT48" s="78"/>
      <c r="AU48" s="78"/>
      <c r="AV48" s="78"/>
      <c r="AW48" s="78"/>
      <c r="AX48" s="78"/>
      <c r="AY48" s="78"/>
      <c r="AZ48" s="69"/>
      <c r="BA48" s="69"/>
      <c r="BB48" s="69"/>
      <c r="BC48" s="69"/>
      <c r="BD48" s="69"/>
      <c r="BE48" s="69"/>
      <c r="BF48" s="69"/>
      <c r="BG48" s="69"/>
      <c r="BH48" s="69"/>
      <c r="BI48" s="69"/>
      <c r="BJ48" s="69"/>
      <c r="BK48" s="69"/>
      <c r="BL48" s="76"/>
      <c r="BM48" s="69"/>
      <c r="BN48" s="69"/>
      <c r="BO48" s="229"/>
      <c r="BP48" s="79"/>
      <c r="BQ48" s="79"/>
      <c r="BR48" s="79"/>
      <c r="BS48" s="79"/>
    </row>
    <row r="49" spans="2:76" s="62" customFormat="1" ht="15.75">
      <c r="B49" s="69"/>
      <c r="C49" s="70"/>
      <c r="D49" s="71"/>
      <c r="E49" s="72"/>
      <c r="F49" s="73"/>
      <c r="G49" s="73"/>
      <c r="H49" s="74"/>
      <c r="I49" s="73"/>
      <c r="J49" s="69"/>
      <c r="K49" s="69"/>
      <c r="L49" s="69"/>
      <c r="M49" s="69"/>
      <c r="N49" s="69"/>
      <c r="O49" s="75"/>
      <c r="P49" s="75"/>
      <c r="Q49" s="69"/>
      <c r="R49" s="69"/>
      <c r="S49" s="69"/>
      <c r="T49" s="69"/>
      <c r="U49" s="69"/>
      <c r="V49" s="69"/>
      <c r="W49" s="69"/>
      <c r="X49" s="69"/>
      <c r="Y49" s="69"/>
      <c r="Z49" s="69"/>
      <c r="AA49" s="69"/>
      <c r="AB49" s="69"/>
      <c r="AC49" s="69"/>
      <c r="AD49" s="76"/>
      <c r="AE49" s="69"/>
      <c r="AF49" s="77"/>
      <c r="AG49" s="77"/>
      <c r="AH49" s="78"/>
      <c r="AI49" s="78"/>
      <c r="AJ49" s="78"/>
      <c r="AK49" s="78"/>
      <c r="AL49" s="78"/>
      <c r="AM49" s="78"/>
      <c r="AN49" s="78"/>
      <c r="AO49" s="78"/>
      <c r="AP49" s="78"/>
      <c r="AQ49" s="78"/>
      <c r="AR49" s="78"/>
      <c r="AS49" s="78"/>
      <c r="AT49" s="78"/>
      <c r="AU49" s="78"/>
      <c r="AV49" s="78"/>
      <c r="AW49" s="78"/>
      <c r="AX49" s="78"/>
      <c r="AY49" s="78"/>
      <c r="AZ49" s="69"/>
      <c r="BA49" s="69"/>
      <c r="BB49" s="69"/>
      <c r="BC49" s="69"/>
      <c r="BD49" s="69"/>
      <c r="BE49" s="69"/>
      <c r="BF49" s="69"/>
      <c r="BG49" s="69"/>
      <c r="BH49" s="69"/>
      <c r="BI49" s="69"/>
      <c r="BJ49" s="69"/>
      <c r="BK49" s="69"/>
      <c r="BL49" s="76"/>
      <c r="BM49" s="69"/>
      <c r="BN49" s="69"/>
      <c r="BO49" s="229"/>
      <c r="BP49" s="79"/>
      <c r="BQ49" s="79"/>
      <c r="BR49" s="79"/>
      <c r="BS49" s="79"/>
    </row>
    <row r="50" spans="2:76" s="62" customFormat="1" ht="15.75">
      <c r="B50" s="69"/>
      <c r="C50" s="70"/>
      <c r="D50" s="71"/>
      <c r="E50" s="72"/>
      <c r="F50" s="73"/>
      <c r="G50" s="73"/>
      <c r="H50" s="74"/>
      <c r="I50" s="73"/>
      <c r="J50" s="69"/>
      <c r="K50" s="69"/>
      <c r="L50" s="69"/>
      <c r="M50" s="69"/>
      <c r="N50" s="69"/>
      <c r="O50" s="75"/>
      <c r="P50" s="75"/>
      <c r="Q50" s="69"/>
      <c r="R50" s="69"/>
      <c r="S50" s="69"/>
      <c r="T50" s="69"/>
      <c r="U50" s="69"/>
      <c r="V50" s="69"/>
      <c r="W50" s="69"/>
      <c r="X50" s="69"/>
      <c r="Y50" s="69"/>
      <c r="Z50" s="69"/>
      <c r="AA50" s="69"/>
      <c r="AB50" s="69"/>
      <c r="AC50" s="69"/>
      <c r="AD50" s="76"/>
      <c r="AE50" s="69"/>
      <c r="AF50" s="77"/>
      <c r="AG50" s="77"/>
      <c r="AH50" s="78"/>
      <c r="AI50" s="78"/>
      <c r="AJ50" s="78"/>
      <c r="AK50" s="78"/>
      <c r="AL50" s="78"/>
      <c r="AM50" s="78"/>
      <c r="AN50" s="78"/>
      <c r="AO50" s="78"/>
      <c r="AP50" s="78"/>
      <c r="AQ50" s="78"/>
      <c r="AR50" s="78"/>
      <c r="AS50" s="78"/>
      <c r="AT50" s="78"/>
      <c r="AU50" s="78"/>
      <c r="AV50" s="78"/>
      <c r="AW50" s="78"/>
      <c r="AX50" s="78"/>
      <c r="AY50" s="78"/>
      <c r="AZ50" s="69"/>
      <c r="BA50" s="69"/>
      <c r="BB50" s="69"/>
      <c r="BC50" s="69"/>
      <c r="BD50" s="69"/>
      <c r="BE50" s="69"/>
      <c r="BF50" s="69"/>
      <c r="BG50" s="69"/>
      <c r="BH50" s="69"/>
      <c r="BI50" s="69"/>
      <c r="BJ50" s="69"/>
      <c r="BK50" s="69"/>
      <c r="BL50" s="76"/>
      <c r="BM50" s="69"/>
      <c r="BN50" s="69"/>
      <c r="BO50" s="229"/>
      <c r="BP50" s="79"/>
      <c r="BQ50" s="79"/>
      <c r="BR50" s="79"/>
      <c r="BS50" s="79"/>
      <c r="BU50" s="62" t="s">
        <v>647</v>
      </c>
      <c r="BV50" s="62" t="s">
        <v>648</v>
      </c>
      <c r="BW50" s="62" t="s">
        <v>649</v>
      </c>
      <c r="BX50" s="62" t="s">
        <v>659</v>
      </c>
    </row>
    <row r="51" spans="2:76" s="62" customFormat="1" ht="15.75">
      <c r="B51" s="69"/>
      <c r="C51" s="70"/>
      <c r="D51" s="71"/>
      <c r="E51" s="72"/>
      <c r="F51" s="73"/>
      <c r="G51" s="73"/>
      <c r="H51" s="74"/>
      <c r="I51" s="73"/>
      <c r="J51" s="69"/>
      <c r="K51" s="69"/>
      <c r="L51" s="69"/>
      <c r="M51" s="69"/>
      <c r="N51" s="69"/>
      <c r="O51" s="75"/>
      <c r="P51" s="75"/>
      <c r="Q51" s="69"/>
      <c r="R51" s="69"/>
      <c r="S51" s="69"/>
      <c r="T51" s="69"/>
      <c r="U51" s="69"/>
      <c r="V51" s="69"/>
      <c r="W51" s="69"/>
      <c r="X51" s="69"/>
      <c r="Y51" s="69"/>
      <c r="Z51" s="69"/>
      <c r="AA51" s="69"/>
      <c r="AB51" s="69"/>
      <c r="AC51" s="69"/>
      <c r="AD51" s="76"/>
      <c r="AE51" s="69"/>
      <c r="AF51" s="77"/>
      <c r="AG51" s="77"/>
      <c r="AH51" s="78"/>
      <c r="AI51" s="78"/>
      <c r="AJ51" s="78"/>
      <c r="AK51" s="78"/>
      <c r="AL51" s="78"/>
      <c r="AM51" s="78"/>
      <c r="AN51" s="78"/>
      <c r="AO51" s="78"/>
      <c r="AP51" s="78"/>
      <c r="AQ51" s="78"/>
      <c r="AR51" s="78"/>
      <c r="AS51" s="78"/>
      <c r="AT51" s="78"/>
      <c r="AU51" s="78"/>
      <c r="AV51" s="78"/>
      <c r="AW51" s="78"/>
      <c r="AX51" s="78"/>
      <c r="AY51" s="78"/>
      <c r="AZ51" s="69"/>
      <c r="BA51" s="69"/>
      <c r="BB51" s="69"/>
      <c r="BC51" s="69"/>
      <c r="BD51" s="69"/>
      <c r="BE51" s="69"/>
      <c r="BF51" s="69"/>
      <c r="BG51" s="69"/>
      <c r="BH51" s="69"/>
      <c r="BI51" s="69"/>
      <c r="BJ51" s="69"/>
      <c r="BK51" s="69"/>
      <c r="BL51" s="76"/>
      <c r="BM51" s="69"/>
      <c r="BN51" s="69"/>
      <c r="BO51" s="229"/>
      <c r="BP51" s="79"/>
      <c r="BQ51" s="79"/>
      <c r="BR51" s="79"/>
      <c r="BS51" s="79"/>
      <c r="BX51" s="62" t="s">
        <v>658</v>
      </c>
    </row>
    <row r="52" spans="2:76" s="62" customFormat="1" ht="15.75">
      <c r="B52" s="69"/>
      <c r="C52" s="70"/>
      <c r="D52" s="71"/>
      <c r="E52" s="72"/>
      <c r="F52" s="73"/>
      <c r="G52" s="73"/>
      <c r="H52" s="74"/>
      <c r="I52" s="73"/>
      <c r="J52" s="69"/>
      <c r="K52" s="69"/>
      <c r="L52" s="69"/>
      <c r="M52" s="69"/>
      <c r="N52" s="69"/>
      <c r="O52" s="75"/>
      <c r="P52" s="75"/>
      <c r="Q52" s="69"/>
      <c r="R52" s="69"/>
      <c r="S52" s="69"/>
      <c r="T52" s="69"/>
      <c r="U52" s="69"/>
      <c r="V52" s="69"/>
      <c r="W52" s="69"/>
      <c r="X52" s="69"/>
      <c r="Y52" s="69"/>
      <c r="Z52" s="69"/>
      <c r="AA52" s="69"/>
      <c r="AB52" s="69"/>
      <c r="AC52" s="69"/>
      <c r="AD52" s="76"/>
      <c r="AE52" s="69"/>
      <c r="AF52" s="77"/>
      <c r="AG52" s="77"/>
      <c r="AH52" s="78"/>
      <c r="AI52" s="78"/>
      <c r="AJ52" s="78"/>
      <c r="AK52" s="78"/>
      <c r="AL52" s="78"/>
      <c r="AM52" s="78"/>
      <c r="AN52" s="78"/>
      <c r="AO52" s="78"/>
      <c r="AP52" s="78"/>
      <c r="AQ52" s="78"/>
      <c r="AR52" s="78"/>
      <c r="AS52" s="78"/>
      <c r="AT52" s="78"/>
      <c r="AU52" s="78"/>
      <c r="AV52" s="78"/>
      <c r="AW52" s="78"/>
      <c r="AX52" s="78"/>
      <c r="AY52" s="78"/>
      <c r="AZ52" s="69"/>
      <c r="BA52" s="69"/>
      <c r="BB52" s="69"/>
      <c r="BC52" s="69"/>
      <c r="BD52" s="69"/>
      <c r="BE52" s="69"/>
      <c r="BF52" s="69"/>
      <c r="BG52" s="69"/>
      <c r="BH52" s="69"/>
      <c r="BI52" s="69"/>
      <c r="BJ52" s="69"/>
      <c r="BK52" s="69"/>
      <c r="BL52" s="76"/>
      <c r="BM52" s="69"/>
      <c r="BN52" s="69"/>
      <c r="BO52" s="229"/>
      <c r="BP52" s="79"/>
      <c r="BQ52" s="79"/>
      <c r="BR52" s="79"/>
      <c r="BS52" s="79"/>
    </row>
    <row r="53" spans="2:76" s="62" customFormat="1" ht="15.75">
      <c r="B53" s="69"/>
      <c r="C53" s="70"/>
      <c r="D53" s="71"/>
      <c r="E53" s="72"/>
      <c r="F53" s="73"/>
      <c r="G53" s="73"/>
      <c r="H53" s="74"/>
      <c r="I53" s="73"/>
      <c r="J53" s="69"/>
      <c r="K53" s="69"/>
      <c r="L53" s="69"/>
      <c r="M53" s="69"/>
      <c r="N53" s="69"/>
      <c r="O53" s="75"/>
      <c r="P53" s="75"/>
      <c r="Q53" s="69"/>
      <c r="R53" s="69"/>
      <c r="S53" s="69"/>
      <c r="T53" s="69"/>
      <c r="U53" s="69"/>
      <c r="V53" s="69"/>
      <c r="W53" s="69"/>
      <c r="X53" s="69"/>
      <c r="Y53" s="69"/>
      <c r="Z53" s="69"/>
      <c r="AA53" s="69"/>
      <c r="AB53" s="69"/>
      <c r="AC53" s="69"/>
      <c r="AD53" s="76"/>
      <c r="AE53" s="69"/>
      <c r="AF53" s="77"/>
      <c r="AG53" s="77"/>
      <c r="AH53" s="78"/>
      <c r="AI53" s="78"/>
      <c r="AJ53" s="78"/>
      <c r="AK53" s="78"/>
      <c r="AL53" s="78"/>
      <c r="AM53" s="78"/>
      <c r="AN53" s="78"/>
      <c r="AO53" s="78"/>
      <c r="AP53" s="78"/>
      <c r="AQ53" s="78"/>
      <c r="AR53" s="78"/>
      <c r="AS53" s="78"/>
      <c r="AT53" s="78"/>
      <c r="AU53" s="78"/>
      <c r="AV53" s="78"/>
      <c r="AW53" s="78"/>
      <c r="AX53" s="78"/>
      <c r="AY53" s="78"/>
      <c r="AZ53" s="69"/>
      <c r="BA53" s="69"/>
      <c r="BB53" s="69"/>
      <c r="BC53" s="69"/>
      <c r="BD53" s="69"/>
      <c r="BE53" s="69"/>
      <c r="BF53" s="69"/>
      <c r="BG53" s="69"/>
      <c r="BH53" s="69"/>
      <c r="BI53" s="69"/>
      <c r="BJ53" s="69"/>
      <c r="BK53" s="69"/>
      <c r="BL53" s="76"/>
      <c r="BM53" s="69"/>
      <c r="BN53" s="69"/>
      <c r="BO53" s="229"/>
      <c r="BP53" s="79"/>
      <c r="BQ53" s="79"/>
      <c r="BR53" s="79"/>
      <c r="BS53" s="79"/>
      <c r="BV53" s="210" t="s">
        <v>636</v>
      </c>
      <c r="BX53" s="62" t="s">
        <v>660</v>
      </c>
    </row>
    <row r="54" spans="2:76" s="62" customFormat="1" ht="15.75">
      <c r="B54" s="69"/>
      <c r="C54" s="70"/>
      <c r="D54" s="71"/>
      <c r="E54" s="72"/>
      <c r="F54" s="73"/>
      <c r="G54" s="73"/>
      <c r="H54" s="74"/>
      <c r="I54" s="73"/>
      <c r="J54" s="69"/>
      <c r="K54" s="69"/>
      <c r="L54" s="69"/>
      <c r="M54" s="69"/>
      <c r="N54" s="69"/>
      <c r="O54" s="75"/>
      <c r="P54" s="75"/>
      <c r="Q54" s="69"/>
      <c r="R54" s="69"/>
      <c r="S54" s="69"/>
      <c r="T54" s="69"/>
      <c r="U54" s="69"/>
      <c r="V54" s="69"/>
      <c r="W54" s="69"/>
      <c r="X54" s="69"/>
      <c r="Y54" s="69"/>
      <c r="Z54" s="69"/>
      <c r="AA54" s="69"/>
      <c r="AB54" s="69"/>
      <c r="AC54" s="69"/>
      <c r="AD54" s="76"/>
      <c r="AE54" s="69"/>
      <c r="AF54" s="77"/>
      <c r="AG54" s="77"/>
      <c r="AH54" s="78"/>
      <c r="AI54" s="78"/>
      <c r="AJ54" s="78"/>
      <c r="AK54" s="78"/>
      <c r="AL54" s="78"/>
      <c r="AM54" s="78"/>
      <c r="AN54" s="78"/>
      <c r="AO54" s="78"/>
      <c r="AP54" s="78"/>
      <c r="AQ54" s="78"/>
      <c r="AR54" s="78"/>
      <c r="AS54" s="78"/>
      <c r="AT54" s="78"/>
      <c r="AU54" s="78"/>
      <c r="AV54" s="78"/>
      <c r="AW54" s="78"/>
      <c r="AX54" s="78"/>
      <c r="AY54" s="78"/>
      <c r="AZ54" s="69"/>
      <c r="BA54" s="69"/>
      <c r="BB54" s="69"/>
      <c r="BC54" s="69"/>
      <c r="BD54" s="69"/>
      <c r="BE54" s="69"/>
      <c r="BF54" s="69"/>
      <c r="BG54" s="69"/>
      <c r="BH54" s="69"/>
      <c r="BI54" s="69"/>
      <c r="BJ54" s="69"/>
      <c r="BK54" s="69"/>
      <c r="BL54" s="76"/>
      <c r="BM54" s="69"/>
      <c r="BN54" s="69"/>
      <c r="BO54" s="229"/>
      <c r="BP54" s="79"/>
      <c r="BQ54" s="79"/>
      <c r="BR54" s="79"/>
      <c r="BS54" s="79"/>
      <c r="BV54" s="210" t="s">
        <v>637</v>
      </c>
      <c r="BX54" s="62" t="s">
        <v>664</v>
      </c>
    </row>
    <row r="55" spans="2:76" s="62" customFormat="1" ht="15.75">
      <c r="B55" s="69"/>
      <c r="C55" s="70"/>
      <c r="D55" s="71"/>
      <c r="E55" s="72"/>
      <c r="F55" s="73"/>
      <c r="G55" s="73"/>
      <c r="H55" s="74"/>
      <c r="I55" s="73"/>
      <c r="J55" s="69"/>
      <c r="K55" s="69"/>
      <c r="L55" s="69"/>
      <c r="M55" s="69"/>
      <c r="N55" s="69"/>
      <c r="O55" s="75"/>
      <c r="P55" s="75"/>
      <c r="Q55" s="69"/>
      <c r="R55" s="69"/>
      <c r="S55" s="69"/>
      <c r="T55" s="69"/>
      <c r="U55" s="69"/>
      <c r="V55" s="69"/>
      <c r="W55" s="69"/>
      <c r="X55" s="69"/>
      <c r="Y55" s="69"/>
      <c r="Z55" s="69"/>
      <c r="AA55" s="69"/>
      <c r="AB55" s="69"/>
      <c r="AC55" s="69"/>
      <c r="AD55" s="76"/>
      <c r="AE55" s="69"/>
      <c r="AF55" s="77"/>
      <c r="AG55" s="77"/>
      <c r="AH55" s="78"/>
      <c r="AI55" s="78"/>
      <c r="AJ55" s="78"/>
      <c r="AK55" s="78"/>
      <c r="AL55" s="78"/>
      <c r="AM55" s="78"/>
      <c r="AN55" s="78"/>
      <c r="AO55" s="78"/>
      <c r="AP55" s="78"/>
      <c r="AQ55" s="78"/>
      <c r="AR55" s="78"/>
      <c r="AS55" s="78"/>
      <c r="AT55" s="78"/>
      <c r="AU55" s="78"/>
      <c r="AV55" s="78"/>
      <c r="AW55" s="78"/>
      <c r="AX55" s="78"/>
      <c r="AY55" s="78"/>
      <c r="AZ55" s="69"/>
      <c r="BA55" s="69"/>
      <c r="BB55" s="69"/>
      <c r="BC55" s="69"/>
      <c r="BD55" s="69"/>
      <c r="BE55" s="69"/>
      <c r="BF55" s="69"/>
      <c r="BG55" s="69"/>
      <c r="BH55" s="69"/>
      <c r="BI55" s="69"/>
      <c r="BJ55" s="69"/>
      <c r="BK55" s="69"/>
      <c r="BL55" s="76"/>
      <c r="BM55" s="69"/>
      <c r="BN55" s="69"/>
      <c r="BO55" s="229"/>
      <c r="BP55" s="79"/>
      <c r="BQ55" s="79"/>
      <c r="BR55" s="79"/>
      <c r="BS55" s="79"/>
      <c r="BV55" s="210" t="s">
        <v>661</v>
      </c>
      <c r="BX55" s="62" t="s">
        <v>665</v>
      </c>
    </row>
    <row r="56" spans="2:76" s="62" customFormat="1" ht="15.75">
      <c r="B56" s="69"/>
      <c r="C56" s="70"/>
      <c r="D56" s="71"/>
      <c r="E56" s="72"/>
      <c r="F56" s="73"/>
      <c r="G56" s="73"/>
      <c r="H56" s="74"/>
      <c r="I56" s="73"/>
      <c r="J56" s="69"/>
      <c r="K56" s="69"/>
      <c r="L56" s="69"/>
      <c r="M56" s="69"/>
      <c r="N56" s="69"/>
      <c r="O56" s="75"/>
      <c r="P56" s="75"/>
      <c r="Q56" s="69"/>
      <c r="R56" s="69"/>
      <c r="S56" s="69"/>
      <c r="T56" s="69"/>
      <c r="U56" s="69"/>
      <c r="V56" s="69"/>
      <c r="W56" s="69"/>
      <c r="X56" s="69"/>
      <c r="Y56" s="69"/>
      <c r="Z56" s="69"/>
      <c r="AA56" s="69"/>
      <c r="AB56" s="69"/>
      <c r="AC56" s="69"/>
      <c r="AD56" s="76"/>
      <c r="AE56" s="69"/>
      <c r="AF56" s="77"/>
      <c r="AG56" s="77"/>
      <c r="AH56" s="78"/>
      <c r="AI56" s="78"/>
      <c r="AJ56" s="78"/>
      <c r="AK56" s="78"/>
      <c r="AL56" s="78"/>
      <c r="AM56" s="78"/>
      <c r="AN56" s="78"/>
      <c r="AO56" s="78"/>
      <c r="AP56" s="78"/>
      <c r="AQ56" s="78"/>
      <c r="AR56" s="78"/>
      <c r="AS56" s="78"/>
      <c r="AT56" s="78"/>
      <c r="AU56" s="78"/>
      <c r="AV56" s="78"/>
      <c r="AW56" s="78"/>
      <c r="AX56" s="78"/>
      <c r="AY56" s="78"/>
      <c r="AZ56" s="69"/>
      <c r="BA56" s="69"/>
      <c r="BB56" s="69"/>
      <c r="BC56" s="69"/>
      <c r="BD56" s="69"/>
      <c r="BE56" s="69"/>
      <c r="BF56" s="69"/>
      <c r="BG56" s="69"/>
      <c r="BH56" s="69"/>
      <c r="BI56" s="69"/>
      <c r="BJ56" s="69"/>
      <c r="BK56" s="69"/>
      <c r="BL56" s="76"/>
      <c r="BM56" s="69"/>
      <c r="BN56" s="69"/>
      <c r="BO56" s="229"/>
      <c r="BP56" s="79"/>
      <c r="BQ56" s="79"/>
      <c r="BR56" s="79"/>
      <c r="BS56" s="79"/>
      <c r="BV56" s="210" t="s">
        <v>638</v>
      </c>
      <c r="BX56" s="62" t="s">
        <v>663</v>
      </c>
    </row>
    <row r="57" spans="2:76" s="62" customFormat="1" ht="15.75">
      <c r="B57" s="69"/>
      <c r="C57" s="70"/>
      <c r="D57" s="71"/>
      <c r="E57" s="72"/>
      <c r="F57" s="73"/>
      <c r="G57" s="73"/>
      <c r="H57" s="74"/>
      <c r="I57" s="73"/>
      <c r="J57" s="69"/>
      <c r="K57" s="69"/>
      <c r="L57" s="69"/>
      <c r="M57" s="69"/>
      <c r="N57" s="69"/>
      <c r="O57" s="75"/>
      <c r="P57" s="75"/>
      <c r="Q57" s="69"/>
      <c r="R57" s="69"/>
      <c r="S57" s="69"/>
      <c r="T57" s="69"/>
      <c r="U57" s="69"/>
      <c r="V57" s="69"/>
      <c r="W57" s="69"/>
      <c r="X57" s="69"/>
      <c r="Y57" s="69"/>
      <c r="Z57" s="69"/>
      <c r="AA57" s="69"/>
      <c r="AB57" s="69"/>
      <c r="AC57" s="69"/>
      <c r="AD57" s="76"/>
      <c r="AE57" s="69"/>
      <c r="AF57" s="77"/>
      <c r="AG57" s="77"/>
      <c r="AH57" s="78"/>
      <c r="AI57" s="78"/>
      <c r="AJ57" s="78"/>
      <c r="AK57" s="78"/>
      <c r="AL57" s="78"/>
      <c r="AM57" s="78"/>
      <c r="AN57" s="78"/>
      <c r="AO57" s="78"/>
      <c r="AP57" s="78"/>
      <c r="AQ57" s="78"/>
      <c r="AR57" s="78"/>
      <c r="AS57" s="78"/>
      <c r="AT57" s="78"/>
      <c r="AU57" s="78"/>
      <c r="AV57" s="78"/>
      <c r="AW57" s="78"/>
      <c r="AX57" s="78"/>
      <c r="AY57" s="78"/>
      <c r="AZ57" s="69"/>
      <c r="BA57" s="69"/>
      <c r="BB57" s="69"/>
      <c r="BC57" s="69"/>
      <c r="BD57" s="69"/>
      <c r="BE57" s="69"/>
      <c r="BF57" s="69"/>
      <c r="BG57" s="69"/>
      <c r="BH57" s="69"/>
      <c r="BI57" s="69"/>
      <c r="BJ57" s="69"/>
      <c r="BK57" s="69"/>
      <c r="BL57" s="76"/>
      <c r="BM57" s="69"/>
      <c r="BN57" s="69"/>
      <c r="BO57" s="229"/>
      <c r="BP57" s="79"/>
      <c r="BQ57" s="79"/>
      <c r="BR57" s="79"/>
      <c r="BS57" s="79"/>
      <c r="BV57" s="210" t="s">
        <v>662</v>
      </c>
      <c r="BX57" s="62" t="s">
        <v>666</v>
      </c>
    </row>
    <row r="58" spans="2:76" s="62" customFormat="1" ht="15.75">
      <c r="B58" s="69"/>
      <c r="C58" s="70"/>
      <c r="D58" s="71"/>
      <c r="E58" s="72"/>
      <c r="F58" s="73"/>
      <c r="G58" s="73"/>
      <c r="H58" s="74"/>
      <c r="I58" s="73"/>
      <c r="J58" s="69"/>
      <c r="K58" s="69"/>
      <c r="L58" s="69"/>
      <c r="M58" s="69"/>
      <c r="N58" s="69"/>
      <c r="O58" s="75"/>
      <c r="P58" s="75"/>
      <c r="Q58" s="69"/>
      <c r="R58" s="69"/>
      <c r="S58" s="69"/>
      <c r="T58" s="69"/>
      <c r="U58" s="69"/>
      <c r="V58" s="69"/>
      <c r="W58" s="69"/>
      <c r="X58" s="69"/>
      <c r="Y58" s="69"/>
      <c r="Z58" s="69"/>
      <c r="AA58" s="69"/>
      <c r="AB58" s="69"/>
      <c r="AC58" s="69"/>
      <c r="AD58" s="76"/>
      <c r="AE58" s="69"/>
      <c r="AF58" s="77"/>
      <c r="AG58" s="77"/>
      <c r="AH58" s="78"/>
      <c r="AI58" s="78"/>
      <c r="AJ58" s="78"/>
      <c r="AK58" s="78"/>
      <c r="AL58" s="78"/>
      <c r="AM58" s="78"/>
      <c r="AN58" s="78"/>
      <c r="AO58" s="78"/>
      <c r="AP58" s="78"/>
      <c r="AQ58" s="78"/>
      <c r="AR58" s="78"/>
      <c r="AS58" s="78"/>
      <c r="AT58" s="78"/>
      <c r="AU58" s="78"/>
      <c r="AV58" s="78"/>
      <c r="AW58" s="78"/>
      <c r="AX58" s="78"/>
      <c r="AY58" s="78"/>
      <c r="AZ58" s="69"/>
      <c r="BA58" s="69"/>
      <c r="BB58" s="69"/>
      <c r="BC58" s="69"/>
      <c r="BD58" s="69"/>
      <c r="BE58" s="69"/>
      <c r="BF58" s="69"/>
      <c r="BG58" s="69"/>
      <c r="BH58" s="69"/>
      <c r="BI58" s="69"/>
      <c r="BJ58" s="69"/>
      <c r="BK58" s="69"/>
      <c r="BL58" s="76"/>
      <c r="BM58" s="69"/>
      <c r="BN58" s="69"/>
      <c r="BO58" s="229"/>
      <c r="BP58" s="79"/>
      <c r="BQ58" s="79"/>
      <c r="BR58" s="79"/>
      <c r="BS58" s="79"/>
      <c r="BV58" s="210" t="s">
        <v>635</v>
      </c>
      <c r="BX58" s="62" t="s">
        <v>667</v>
      </c>
    </row>
    <row r="60" spans="2:76">
      <c r="C60" s="15" t="s">
        <v>161</v>
      </c>
      <c r="D60" s="16" t="s">
        <v>162</v>
      </c>
      <c r="E60" s="16"/>
      <c r="F60" s="16"/>
      <c r="G60" s="16"/>
    </row>
    <row r="61" spans="2:76">
      <c r="C61" t="s">
        <v>165</v>
      </c>
      <c r="D61" s="16" t="s">
        <v>163</v>
      </c>
      <c r="E61" s="16"/>
      <c r="F61" s="16"/>
      <c r="G61" s="16"/>
    </row>
    <row r="62" spans="2:76">
      <c r="C62" t="s">
        <v>166</v>
      </c>
      <c r="D62" s="16" t="s">
        <v>164</v>
      </c>
      <c r="E62" s="16"/>
      <c r="F62" s="16"/>
      <c r="G62" s="16"/>
    </row>
    <row r="63" spans="2:76">
      <c r="C63" t="s">
        <v>294</v>
      </c>
      <c r="D63" s="34" t="s">
        <v>295</v>
      </c>
      <c r="E63" s="16"/>
      <c r="F63" s="16"/>
      <c r="G63" s="16"/>
    </row>
    <row r="64" spans="2:76">
      <c r="C64" t="s">
        <v>167</v>
      </c>
      <c r="D64" s="16" t="s">
        <v>168</v>
      </c>
      <c r="E64" s="16"/>
      <c r="F64" s="16"/>
      <c r="G64" s="16"/>
    </row>
    <row r="65" spans="3:7">
      <c r="C65" t="s">
        <v>169</v>
      </c>
      <c r="D65" s="16" t="s">
        <v>170</v>
      </c>
      <c r="E65" s="16"/>
      <c r="F65" s="16"/>
      <c r="G65" s="16"/>
    </row>
    <row r="66" spans="3:7">
      <c r="C66" t="s">
        <v>171</v>
      </c>
      <c r="D66" s="16" t="s">
        <v>172</v>
      </c>
      <c r="E66" s="16"/>
      <c r="F66" s="16"/>
      <c r="G66" s="16"/>
    </row>
    <row r="67" spans="3:7">
      <c r="C67" t="s">
        <v>174</v>
      </c>
      <c r="D67" s="16" t="s">
        <v>173</v>
      </c>
      <c r="E67" s="16"/>
      <c r="F67" s="16"/>
      <c r="G67" s="16"/>
    </row>
    <row r="68" spans="3:7">
      <c r="C68" t="s">
        <v>175</v>
      </c>
      <c r="D68" s="16" t="s">
        <v>176</v>
      </c>
      <c r="E68" s="16"/>
      <c r="F68" s="16"/>
      <c r="G68" s="16"/>
    </row>
    <row r="69" spans="3:7">
      <c r="C69" t="s">
        <v>177</v>
      </c>
      <c r="D69" s="16" t="s">
        <v>178</v>
      </c>
      <c r="E69" s="16"/>
      <c r="F69" s="16"/>
      <c r="G69" s="16"/>
    </row>
    <row r="70" spans="3:7">
      <c r="C70" t="s">
        <v>179</v>
      </c>
      <c r="D70" s="16" t="s">
        <v>180</v>
      </c>
      <c r="E70" s="16"/>
      <c r="F70" s="16"/>
      <c r="G70" s="16"/>
    </row>
    <row r="71" spans="3:7">
      <c r="C71" t="s">
        <v>182</v>
      </c>
      <c r="D71" s="16" t="s">
        <v>181</v>
      </c>
      <c r="E71" s="16"/>
      <c r="F71" s="16"/>
      <c r="G71" s="16"/>
    </row>
    <row r="72" spans="3:7">
      <c r="C72" t="s">
        <v>183</v>
      </c>
      <c r="D72" s="16" t="s">
        <v>184</v>
      </c>
      <c r="E72" s="16"/>
      <c r="F72" s="16"/>
      <c r="G72" s="16"/>
    </row>
    <row r="73" spans="3:7">
      <c r="C73" t="s">
        <v>185</v>
      </c>
      <c r="D73" s="16" t="s">
        <v>186</v>
      </c>
      <c r="E73" s="16"/>
      <c r="F73" s="16"/>
      <c r="G73" s="16"/>
    </row>
    <row r="74" spans="3:7">
      <c r="C74" t="s">
        <v>187</v>
      </c>
      <c r="D74" s="16" t="s">
        <v>188</v>
      </c>
      <c r="E74" s="16"/>
      <c r="F74" s="16"/>
      <c r="G74" s="16"/>
    </row>
    <row r="75" spans="3:7">
      <c r="C75" t="s">
        <v>190</v>
      </c>
      <c r="D75" s="16" t="s">
        <v>191</v>
      </c>
      <c r="E75" s="16"/>
      <c r="F75" s="16"/>
      <c r="G75" s="16"/>
    </row>
    <row r="76" spans="3:7">
      <c r="C76" t="s">
        <v>288</v>
      </c>
      <c r="D76" s="16" t="s">
        <v>289</v>
      </c>
      <c r="E76" s="16"/>
      <c r="F76" s="16"/>
      <c r="G76" s="16"/>
    </row>
    <row r="77" spans="3:7">
      <c r="C77" t="s">
        <v>192</v>
      </c>
      <c r="D77" s="16" t="s">
        <v>193</v>
      </c>
      <c r="E77" s="16"/>
      <c r="F77" s="16"/>
      <c r="G77" s="16"/>
    </row>
    <row r="78" spans="3:7">
      <c r="C78" t="s">
        <v>195</v>
      </c>
      <c r="D78" s="16" t="s">
        <v>197</v>
      </c>
      <c r="E78" s="16"/>
      <c r="F78" s="16"/>
      <c r="G78" s="16"/>
    </row>
    <row r="79" spans="3:7">
      <c r="C79" t="s">
        <v>196</v>
      </c>
      <c r="D79" s="16" t="s">
        <v>194</v>
      </c>
      <c r="E79" s="16"/>
      <c r="F79" s="16"/>
      <c r="G79" s="16"/>
    </row>
    <row r="80" spans="3:7">
      <c r="C80" t="s">
        <v>199</v>
      </c>
      <c r="D80" s="16" t="s">
        <v>198</v>
      </c>
      <c r="E80" s="16"/>
      <c r="F80" s="16"/>
      <c r="G80" s="16"/>
    </row>
    <row r="81" spans="3:7">
      <c r="C81" t="s">
        <v>200</v>
      </c>
      <c r="D81" s="16" t="s">
        <v>201</v>
      </c>
      <c r="E81" s="16"/>
      <c r="F81" s="16"/>
      <c r="G81" s="16"/>
    </row>
    <row r="82" spans="3:7">
      <c r="C82" t="s">
        <v>202</v>
      </c>
      <c r="D82" s="16" t="s">
        <v>203</v>
      </c>
      <c r="E82" s="16"/>
      <c r="F82" s="16"/>
      <c r="G82" s="16"/>
    </row>
    <row r="83" spans="3:7">
      <c r="C83" t="s">
        <v>204</v>
      </c>
      <c r="D83" s="16" t="s">
        <v>230</v>
      </c>
      <c r="E83" s="16"/>
      <c r="F83" s="16"/>
      <c r="G83" s="16"/>
    </row>
    <row r="84" spans="3:7">
      <c r="C84" t="s">
        <v>205</v>
      </c>
      <c r="D84" s="16" t="s">
        <v>206</v>
      </c>
      <c r="E84" s="16"/>
      <c r="F84" s="16"/>
      <c r="G84" s="16"/>
    </row>
    <row r="85" spans="3:7">
      <c r="C85" t="s">
        <v>207</v>
      </c>
      <c r="D85" s="16" t="s">
        <v>208</v>
      </c>
      <c r="E85" s="16"/>
      <c r="F85" s="16"/>
      <c r="G85" s="16"/>
    </row>
    <row r="86" spans="3:7">
      <c r="C86" t="s">
        <v>209</v>
      </c>
      <c r="D86" s="16" t="s">
        <v>210</v>
      </c>
      <c r="E86" s="16"/>
      <c r="F86" s="16"/>
      <c r="G86" s="16"/>
    </row>
    <row r="87" spans="3:7">
      <c r="C87" t="s">
        <v>211</v>
      </c>
      <c r="D87" s="16" t="s">
        <v>212</v>
      </c>
      <c r="E87" s="16"/>
      <c r="F87" s="16"/>
      <c r="G87" s="16"/>
    </row>
    <row r="88" spans="3:7">
      <c r="C88" t="s">
        <v>213</v>
      </c>
      <c r="D88" s="16" t="s">
        <v>214</v>
      </c>
      <c r="E88" s="16"/>
      <c r="F88" s="16"/>
      <c r="G88" s="16"/>
    </row>
    <row r="89" spans="3:7">
      <c r="C89" t="s">
        <v>215</v>
      </c>
      <c r="D89" s="16" t="s">
        <v>217</v>
      </c>
      <c r="E89" s="16"/>
      <c r="F89" s="16"/>
      <c r="G89" s="16"/>
    </row>
    <row r="90" spans="3:7">
      <c r="C90" t="s">
        <v>218</v>
      </c>
      <c r="D90" s="16" t="s">
        <v>219</v>
      </c>
      <c r="E90" s="16"/>
      <c r="F90" s="16"/>
      <c r="G90" s="16"/>
    </row>
    <row r="91" spans="3:7">
      <c r="C91" t="s">
        <v>245</v>
      </c>
      <c r="D91" s="16" t="s">
        <v>246</v>
      </c>
      <c r="E91" s="16"/>
      <c r="F91" s="16"/>
      <c r="G91" s="16"/>
    </row>
    <row r="92" spans="3:7">
      <c r="C92" t="s">
        <v>284</v>
      </c>
      <c r="D92" s="16" t="s">
        <v>285</v>
      </c>
      <c r="E92" s="16"/>
      <c r="F92" s="16"/>
      <c r="G92" s="16"/>
    </row>
    <row r="93" spans="3:7">
      <c r="C93" t="s">
        <v>221</v>
      </c>
      <c r="D93" s="16" t="s">
        <v>220</v>
      </c>
      <c r="E93" s="16"/>
      <c r="F93" s="16"/>
      <c r="G93" s="16"/>
    </row>
    <row r="94" spans="3:7">
      <c r="C94" t="s">
        <v>222</v>
      </c>
      <c r="D94" s="16" t="s">
        <v>224</v>
      </c>
      <c r="E94" s="16"/>
      <c r="F94" s="16"/>
      <c r="G94" s="16"/>
    </row>
    <row r="95" spans="3:7">
      <c r="C95" t="s">
        <v>223</v>
      </c>
      <c r="D95" s="16" t="s">
        <v>225</v>
      </c>
      <c r="E95" s="16"/>
      <c r="F95" s="16"/>
      <c r="G95" s="16"/>
    </row>
    <row r="96" spans="3:7">
      <c r="C96" t="s">
        <v>226</v>
      </c>
      <c r="D96" s="16" t="s">
        <v>262</v>
      </c>
      <c r="E96" s="16"/>
      <c r="F96" s="16"/>
      <c r="G96" s="16"/>
    </row>
    <row r="97" spans="3:7">
      <c r="C97" t="s">
        <v>227</v>
      </c>
      <c r="D97" s="16" t="s">
        <v>228</v>
      </c>
      <c r="E97" s="16"/>
      <c r="F97" s="16"/>
      <c r="G97" s="16"/>
    </row>
    <row r="98" spans="3:7">
      <c r="C98" t="s">
        <v>229</v>
      </c>
      <c r="D98" s="34" t="s">
        <v>342</v>
      </c>
      <c r="E98" s="16"/>
      <c r="F98" s="16"/>
      <c r="G98" s="16"/>
    </row>
    <row r="99" spans="3:7">
      <c r="C99" t="s">
        <v>350</v>
      </c>
      <c r="D99" s="16" t="s">
        <v>239</v>
      </c>
      <c r="E99" s="16"/>
      <c r="F99" s="16"/>
      <c r="G99" s="16"/>
    </row>
    <row r="100" spans="3:7">
      <c r="C100" t="s">
        <v>364</v>
      </c>
      <c r="D100" s="16" t="s">
        <v>286</v>
      </c>
      <c r="E100" s="16"/>
      <c r="F100" s="16"/>
      <c r="G100" s="16"/>
    </row>
    <row r="101" spans="3:7">
      <c r="C101" t="s">
        <v>365</v>
      </c>
      <c r="D101" s="34" t="s">
        <v>351</v>
      </c>
      <c r="E101" s="16"/>
      <c r="F101" s="16"/>
      <c r="G101" s="16"/>
    </row>
    <row r="102" spans="3:7">
      <c r="C102" t="s">
        <v>366</v>
      </c>
      <c r="D102" s="16" t="s">
        <v>260</v>
      </c>
      <c r="E102" s="16"/>
      <c r="F102" s="16"/>
      <c r="G102" s="16"/>
    </row>
    <row r="103" spans="3:7">
      <c r="C103" t="s">
        <v>367</v>
      </c>
      <c r="D103" s="16" t="s">
        <v>261</v>
      </c>
      <c r="E103" s="16"/>
      <c r="F103" s="16"/>
      <c r="G103" s="16"/>
    </row>
    <row r="104" spans="3:7">
      <c r="C104" t="s">
        <v>341</v>
      </c>
      <c r="D104" s="34" t="s">
        <v>337</v>
      </c>
    </row>
    <row r="105" spans="3:7">
      <c r="C105" t="s">
        <v>371</v>
      </c>
      <c r="D105" s="34" t="s">
        <v>606</v>
      </c>
    </row>
    <row r="106" spans="3:7">
      <c r="C106" t="s">
        <v>354</v>
      </c>
      <c r="D106" s="34" t="s">
        <v>455</v>
      </c>
    </row>
    <row r="107" spans="3:7">
      <c r="C107" t="s">
        <v>358</v>
      </c>
      <c r="D107" s="34" t="s">
        <v>442</v>
      </c>
    </row>
    <row r="108" spans="3:7">
      <c r="C108" t="s">
        <v>374</v>
      </c>
      <c r="D108" s="34" t="s">
        <v>375</v>
      </c>
    </row>
    <row r="109" spans="3:7">
      <c r="C109" t="s">
        <v>362</v>
      </c>
      <c r="D109" s="34" t="s">
        <v>380</v>
      </c>
    </row>
    <row r="110" spans="3:7">
      <c r="C110" t="s">
        <v>379</v>
      </c>
      <c r="D110" s="34" t="s">
        <v>363</v>
      </c>
    </row>
    <row r="111" spans="3:7">
      <c r="C111" t="s">
        <v>457</v>
      </c>
      <c r="D111" s="34" t="s">
        <v>458</v>
      </c>
    </row>
    <row r="112" spans="3:7">
      <c r="C112" t="s">
        <v>399</v>
      </c>
      <c r="D112" s="34" t="s">
        <v>468</v>
      </c>
    </row>
    <row r="113" spans="3:4">
      <c r="C113" t="s">
        <v>408</v>
      </c>
      <c r="D113" s="34" t="s">
        <v>409</v>
      </c>
    </row>
    <row r="114" spans="3:4">
      <c r="C114" t="s">
        <v>410</v>
      </c>
      <c r="D114" s="34" t="s">
        <v>411</v>
      </c>
    </row>
    <row r="115" spans="3:4">
      <c r="C115" t="s">
        <v>422</v>
      </c>
      <c r="D115" s="34" t="s">
        <v>423</v>
      </c>
    </row>
    <row r="116" spans="3:4">
      <c r="C116" t="s">
        <v>431</v>
      </c>
      <c r="D116" s="34" t="s">
        <v>432</v>
      </c>
    </row>
    <row r="117" spans="3:4">
      <c r="C117" t="s">
        <v>440</v>
      </c>
      <c r="D117" s="34" t="s">
        <v>441</v>
      </c>
    </row>
    <row r="118" spans="3:4">
      <c r="C118" t="s">
        <v>536</v>
      </c>
      <c r="D118" s="34" t="s">
        <v>537</v>
      </c>
    </row>
    <row r="119" spans="3:4">
      <c r="C119" t="s">
        <v>541</v>
      </c>
      <c r="D119" s="34" t="s">
        <v>542</v>
      </c>
    </row>
    <row r="120" spans="3:4">
      <c r="C120" t="s">
        <v>553</v>
      </c>
      <c r="D120" s="34" t="s">
        <v>554</v>
      </c>
    </row>
    <row r="121" spans="3:4">
      <c r="C121" t="s">
        <v>556</v>
      </c>
      <c r="D121" s="34" t="s">
        <v>557</v>
      </c>
    </row>
    <row r="122" spans="3:4">
      <c r="C122" t="s">
        <v>558</v>
      </c>
      <c r="D122" s="34" t="s">
        <v>559</v>
      </c>
    </row>
    <row r="123" spans="3:4" ht="60">
      <c r="C123" t="s">
        <v>567</v>
      </c>
      <c r="D123" s="181" t="s">
        <v>568</v>
      </c>
    </row>
    <row r="124" spans="3:4">
      <c r="C124" t="s">
        <v>571</v>
      </c>
      <c r="D124" s="34" t="s">
        <v>572</v>
      </c>
    </row>
    <row r="125" spans="3:4">
      <c r="C125" t="s">
        <v>583</v>
      </c>
      <c r="D125" s="34" t="s">
        <v>584</v>
      </c>
    </row>
    <row r="126" spans="3:4">
      <c r="C126" t="s">
        <v>585</v>
      </c>
      <c r="D126" s="34" t="s">
        <v>586</v>
      </c>
    </row>
    <row r="127" spans="3:4">
      <c r="C127" t="s">
        <v>594</v>
      </c>
      <c r="D127" s="34" t="s">
        <v>595</v>
      </c>
    </row>
    <row r="128" spans="3:4">
      <c r="C128" t="s">
        <v>596</v>
      </c>
      <c r="D128" s="34" t="s">
        <v>597</v>
      </c>
    </row>
    <row r="129" spans="3:4">
      <c r="C129" t="s">
        <v>599</v>
      </c>
      <c r="D129" s="34" t="s">
        <v>600</v>
      </c>
    </row>
    <row r="130" spans="3:4">
      <c r="C130" t="s">
        <v>598</v>
      </c>
      <c r="D130" s="34" t="s">
        <v>601</v>
      </c>
    </row>
    <row r="131" spans="3:4">
      <c r="C131" t="s">
        <v>602</v>
      </c>
      <c r="D131" s="34" t="s">
        <v>603</v>
      </c>
    </row>
    <row r="132" spans="3:4">
      <c r="C132" t="s">
        <v>604</v>
      </c>
      <c r="D132" s="34" t="s">
        <v>605</v>
      </c>
    </row>
    <row r="133" spans="3:4">
      <c r="C133" t="s">
        <v>607</v>
      </c>
      <c r="D133" s="34" t="s">
        <v>608</v>
      </c>
    </row>
    <row r="134" spans="3:4">
      <c r="C134" t="s">
        <v>609</v>
      </c>
      <c r="D134" s="34" t="s">
        <v>610</v>
      </c>
    </row>
    <row r="135" spans="3:4">
      <c r="C135" t="s">
        <v>611</v>
      </c>
      <c r="D135" s="34" t="s">
        <v>612</v>
      </c>
    </row>
    <row r="136" spans="3:4">
      <c r="C136" t="s">
        <v>613</v>
      </c>
      <c r="D136" s="34" t="s">
        <v>614</v>
      </c>
    </row>
    <row r="137" spans="3:4">
      <c r="C137" t="s">
        <v>615</v>
      </c>
      <c r="D137" s="34" t="s">
        <v>616</v>
      </c>
    </row>
    <row r="138" spans="3:4">
      <c r="C138" t="s">
        <v>619</v>
      </c>
      <c r="D138" s="34" t="s">
        <v>620</v>
      </c>
    </row>
    <row r="139" spans="3:4">
      <c r="C139" t="s">
        <v>621</v>
      </c>
      <c r="D139" s="34" t="s">
        <v>622</v>
      </c>
    </row>
    <row r="140" spans="3:4">
      <c r="C140" t="s">
        <v>623</v>
      </c>
      <c r="D140" s="34" t="s">
        <v>624</v>
      </c>
    </row>
    <row r="141" spans="3:4">
      <c r="C141" t="s">
        <v>625</v>
      </c>
      <c r="D141" s="34" t="s">
        <v>626</v>
      </c>
    </row>
    <row r="142" spans="3:4">
      <c r="C142" t="s">
        <v>627</v>
      </c>
      <c r="D142" s="34" t="s">
        <v>628</v>
      </c>
    </row>
    <row r="143" spans="3:4">
      <c r="C143" t="s">
        <v>629</v>
      </c>
      <c r="D143" s="34" t="s">
        <v>630</v>
      </c>
    </row>
    <row r="144" spans="3:4">
      <c r="C144" t="s">
        <v>656</v>
      </c>
      <c r="D144" s="34" t="s">
        <v>657</v>
      </c>
    </row>
    <row r="151" spans="2:2" ht="18.75">
      <c r="B151" s="1" t="s">
        <v>0</v>
      </c>
    </row>
    <row r="152" spans="2:2" ht="15.75">
      <c r="B152" s="2" t="s">
        <v>137</v>
      </c>
    </row>
    <row r="153" spans="2:2" ht="15.75">
      <c r="B153" s="2" t="s">
        <v>345</v>
      </c>
    </row>
    <row r="154" spans="2:2" ht="15.75">
      <c r="B154" s="2" t="s">
        <v>259</v>
      </c>
    </row>
    <row r="155" spans="2:2" ht="15.75">
      <c r="B155" s="2"/>
    </row>
    <row r="156" spans="2:2">
      <c r="B156" s="13"/>
    </row>
    <row r="157" spans="2:2" ht="15.75">
      <c r="B157" s="12" t="s">
        <v>140</v>
      </c>
    </row>
    <row r="158" spans="2:2" ht="15.75">
      <c r="B158" s="2" t="s">
        <v>138</v>
      </c>
    </row>
    <row r="159" spans="2:2" ht="15.75">
      <c r="B159" s="2" t="s">
        <v>139</v>
      </c>
    </row>
    <row r="160" spans="2:2" ht="15.75">
      <c r="B160" s="2" t="s">
        <v>141</v>
      </c>
    </row>
    <row r="161" spans="2:13" ht="15.75">
      <c r="B161" s="2" t="s">
        <v>144</v>
      </c>
    </row>
    <row r="162" spans="2:13" ht="15.75">
      <c r="B162" s="2" t="s">
        <v>189</v>
      </c>
    </row>
    <row r="163" spans="2:13" ht="15.75">
      <c r="B163" s="2" t="s">
        <v>147</v>
      </c>
    </row>
    <row r="164" spans="2:13" ht="15.75">
      <c r="B164" s="2" t="s">
        <v>149</v>
      </c>
    </row>
    <row r="165" spans="2:13" ht="15.75">
      <c r="B165" s="2" t="s">
        <v>297</v>
      </c>
    </row>
    <row r="166" spans="2:13" ht="15.75">
      <c r="B166" s="2" t="s">
        <v>150</v>
      </c>
    </row>
    <row r="167" spans="2:13" ht="15.75">
      <c r="B167" s="2" t="s">
        <v>151</v>
      </c>
    </row>
    <row r="168" spans="2:13" ht="15.75">
      <c r="B168" s="2" t="s">
        <v>152</v>
      </c>
    </row>
    <row r="169" spans="2:13" ht="15.75">
      <c r="B169" s="2" t="s">
        <v>154</v>
      </c>
    </row>
    <row r="170" spans="2:13" ht="15.75">
      <c r="B170" s="12" t="s">
        <v>216</v>
      </c>
    </row>
    <row r="171" spans="2:13" ht="15.75">
      <c r="B171" s="2" t="s">
        <v>155</v>
      </c>
    </row>
    <row r="172" spans="2:13" ht="15.75">
      <c r="B172" s="2" t="s">
        <v>156</v>
      </c>
    </row>
    <row r="173" spans="2:13" ht="15.75">
      <c r="B173" s="2" t="s">
        <v>157</v>
      </c>
    </row>
    <row r="174" spans="2:13" ht="15.75">
      <c r="B174" s="2" t="s">
        <v>158</v>
      </c>
      <c r="J174" t="s">
        <v>279</v>
      </c>
      <c r="K174">
        <v>3600</v>
      </c>
      <c r="L174" t="s">
        <v>281</v>
      </c>
      <c r="M174" t="s">
        <v>280</v>
      </c>
    </row>
    <row r="175" spans="2:13" ht="15.75">
      <c r="B175" s="12" t="s">
        <v>159</v>
      </c>
      <c r="K175">
        <v>2000</v>
      </c>
      <c r="L175" t="s">
        <v>281</v>
      </c>
      <c r="M175" t="s">
        <v>282</v>
      </c>
    </row>
    <row r="176" spans="2:13" ht="15.75">
      <c r="B176" s="2" t="s">
        <v>160</v>
      </c>
    </row>
    <row r="177" spans="2:2" ht="15.75">
      <c r="B177" s="2" t="s">
        <v>258</v>
      </c>
    </row>
    <row r="178" spans="2:2" ht="15.75">
      <c r="B178" s="2"/>
    </row>
  </sheetData>
  <sortState xmlns:xlrd2="http://schemas.microsoft.com/office/spreadsheetml/2017/richdata2" ref="A31:BQ86">
    <sortCondition ref="C31:C86"/>
  </sortState>
  <mergeCells count="22">
    <mergeCell ref="BR1:BR2"/>
    <mergeCell ref="BD1:BD2"/>
    <mergeCell ref="BH1:BH2"/>
    <mergeCell ref="BJ1:BJ2"/>
    <mergeCell ref="BN1:BN2"/>
    <mergeCell ref="BB1:BB2"/>
    <mergeCell ref="A1:A2"/>
    <mergeCell ref="C1:C2"/>
    <mergeCell ref="J1:J2"/>
    <mergeCell ref="K1:K2"/>
    <mergeCell ref="AZ1:AZ2"/>
    <mergeCell ref="B1:B2"/>
    <mergeCell ref="CG1:CG2"/>
    <mergeCell ref="BV1:BV2"/>
    <mergeCell ref="BX1:BX2"/>
    <mergeCell ref="BZ1:BZ2"/>
    <mergeCell ref="BU1:BU2"/>
    <mergeCell ref="BW1:BW2"/>
    <mergeCell ref="BY1:BY2"/>
    <mergeCell ref="CA1:CA2"/>
    <mergeCell ref="CC1:CC2"/>
    <mergeCell ref="CE1:CE2"/>
  </mergeCells>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6009-6AFF-4C76-B0F1-C226F838A2FC}">
  <dimension ref="A1:BN8"/>
  <sheetViews>
    <sheetView workbookViewId="0">
      <selection sqref="A1:BJ8"/>
    </sheetView>
  </sheetViews>
  <sheetFormatPr defaultRowHeight="15"/>
  <cols>
    <col min="1" max="1" width="13.7109375" customWidth="1"/>
    <col min="2" max="2" width="15.7109375" hidden="1" customWidth="1"/>
    <col min="3" max="3" width="16" customWidth="1"/>
    <col min="4" max="6" width="0" hidden="1" customWidth="1"/>
    <col min="7" max="7" width="15" hidden="1" customWidth="1"/>
    <col min="8" max="9" width="0" hidden="1" customWidth="1"/>
    <col min="10" max="10" width="10.28515625" customWidth="1"/>
    <col min="11" max="11" width="10.140625" customWidth="1"/>
    <col min="12" max="12" width="8.42578125" customWidth="1"/>
    <col min="13" max="14" width="0" hidden="1" customWidth="1"/>
    <col min="15" max="15" width="10.140625" customWidth="1"/>
    <col min="16" max="16" width="0" hidden="1" customWidth="1"/>
    <col min="17" max="17" width="3.42578125" hidden="1" customWidth="1"/>
    <col min="18" max="18" width="7.7109375" customWidth="1"/>
    <col min="19" max="46" width="0" hidden="1" customWidth="1"/>
    <col min="48" max="48" width="0" hidden="1" customWidth="1"/>
    <col min="50" max="50" width="0" hidden="1" customWidth="1"/>
    <col min="52" max="52" width="0" hidden="1" customWidth="1"/>
    <col min="54" max="54" width="0" hidden="1" customWidth="1"/>
    <col min="56" max="56" width="0" hidden="1" customWidth="1"/>
    <col min="59" max="59" width="0" hidden="1" customWidth="1"/>
    <col min="61" max="61" width="0" hidden="1" customWidth="1"/>
    <col min="62" max="62" width="27" customWidth="1"/>
    <col min="63" max="65" width="0" hidden="1" customWidth="1"/>
    <col min="66" max="66" width="8.5703125" hidden="1" customWidth="1"/>
  </cols>
  <sheetData>
    <row r="1" spans="1:66" ht="30.75" customHeight="1">
      <c r="A1" s="245" t="s">
        <v>257</v>
      </c>
      <c r="B1" s="245" t="s">
        <v>130</v>
      </c>
      <c r="C1" s="245" t="s">
        <v>1</v>
      </c>
      <c r="D1" s="98" t="s">
        <v>234</v>
      </c>
      <c r="E1" s="98" t="s">
        <v>263</v>
      </c>
      <c r="F1" s="98" t="s">
        <v>300</v>
      </c>
      <c r="G1" s="98" t="s">
        <v>300</v>
      </c>
      <c r="H1" s="98" t="s">
        <v>231</v>
      </c>
      <c r="I1" s="98" t="s">
        <v>231</v>
      </c>
      <c r="J1" s="245" t="s">
        <v>2</v>
      </c>
      <c r="K1" s="245" t="s">
        <v>3</v>
      </c>
      <c r="L1" s="99" t="s">
        <v>518</v>
      </c>
      <c r="M1" s="99" t="s">
        <v>519</v>
      </c>
      <c r="N1" s="99" t="s">
        <v>520</v>
      </c>
      <c r="O1" s="99" t="s">
        <v>521</v>
      </c>
      <c r="P1" s="99" t="s">
        <v>521</v>
      </c>
      <c r="Q1" s="99" t="s">
        <v>277</v>
      </c>
      <c r="R1" s="99" t="s">
        <v>522</v>
      </c>
      <c r="S1" s="99" t="s">
        <v>523</v>
      </c>
      <c r="T1" s="99" t="s">
        <v>46</v>
      </c>
      <c r="U1" s="99" t="s">
        <v>46</v>
      </c>
      <c r="V1" s="99" t="s">
        <v>524</v>
      </c>
      <c r="W1" s="99" t="s">
        <v>524</v>
      </c>
      <c r="X1" s="99" t="s">
        <v>525</v>
      </c>
      <c r="Y1" s="99" t="s">
        <v>525</v>
      </c>
      <c r="Z1" s="99" t="s">
        <v>34</v>
      </c>
      <c r="AA1" s="99" t="s">
        <v>267</v>
      </c>
      <c r="AB1" s="99" t="s">
        <v>35</v>
      </c>
      <c r="AC1" s="99" t="s">
        <v>35</v>
      </c>
      <c r="AD1" s="99" t="s">
        <v>248</v>
      </c>
      <c r="AE1" s="99" t="s">
        <v>248</v>
      </c>
      <c r="AF1" s="99" t="s">
        <v>40</v>
      </c>
      <c r="AG1" s="99" t="s">
        <v>49</v>
      </c>
      <c r="AH1" s="99" t="s">
        <v>49</v>
      </c>
      <c r="AI1" s="99" t="s">
        <v>81</v>
      </c>
      <c r="AJ1" s="99" t="s">
        <v>132</v>
      </c>
      <c r="AK1" s="100" t="s">
        <v>526</v>
      </c>
      <c r="AL1" s="100" t="s">
        <v>387</v>
      </c>
      <c r="AM1" s="100" t="s">
        <v>527</v>
      </c>
      <c r="AN1" s="100" t="s">
        <v>528</v>
      </c>
      <c r="AO1" s="100" t="s">
        <v>529</v>
      </c>
      <c r="AP1" s="100" t="s">
        <v>268</v>
      </c>
      <c r="AQ1" s="100" t="s">
        <v>530</v>
      </c>
      <c r="AR1" s="100" t="s">
        <v>531</v>
      </c>
      <c r="AS1" s="100" t="s">
        <v>470</v>
      </c>
      <c r="AT1" s="100" t="s">
        <v>472</v>
      </c>
      <c r="AU1" s="245" t="s">
        <v>271</v>
      </c>
      <c r="AV1" s="101" t="s">
        <v>270</v>
      </c>
      <c r="AW1" s="245" t="s">
        <v>31</v>
      </c>
      <c r="AX1" s="98" t="s">
        <v>272</v>
      </c>
      <c r="AY1" s="245" t="s">
        <v>515</v>
      </c>
      <c r="AZ1" s="98" t="s">
        <v>273</v>
      </c>
      <c r="BA1" s="245" t="s">
        <v>516</v>
      </c>
      <c r="BB1" s="98" t="s">
        <v>532</v>
      </c>
      <c r="BC1" s="247" t="s">
        <v>517</v>
      </c>
      <c r="BD1" s="101" t="s">
        <v>275</v>
      </c>
      <c r="BE1" s="101" t="s">
        <v>506</v>
      </c>
      <c r="BF1" s="101" t="s">
        <v>507</v>
      </c>
      <c r="BG1" s="101"/>
      <c r="BH1" s="101" t="s">
        <v>241</v>
      </c>
      <c r="BI1" s="101" t="s">
        <v>276</v>
      </c>
      <c r="BJ1" s="245" t="s">
        <v>509</v>
      </c>
      <c r="BK1" s="27" t="s">
        <v>292</v>
      </c>
      <c r="BL1" s="81" t="s">
        <v>283</v>
      </c>
      <c r="BM1" s="241" t="s">
        <v>293</v>
      </c>
      <c r="BN1" s="29" t="s">
        <v>290</v>
      </c>
    </row>
    <row r="2" spans="1:66" ht="32.25" thickBot="1">
      <c r="A2" s="246"/>
      <c r="B2" s="246"/>
      <c r="C2" s="246"/>
      <c r="D2" s="102" t="s">
        <v>235</v>
      </c>
      <c r="E2" s="102" t="s">
        <v>50</v>
      </c>
      <c r="F2" s="102" t="s">
        <v>233</v>
      </c>
      <c r="G2" s="102" t="s">
        <v>301</v>
      </c>
      <c r="H2" s="102" t="s">
        <v>233</v>
      </c>
      <c r="I2" s="102" t="s">
        <v>232</v>
      </c>
      <c r="J2" s="246"/>
      <c r="K2" s="246"/>
      <c r="L2" s="103" t="s">
        <v>5</v>
      </c>
      <c r="M2" s="103" t="s">
        <v>5</v>
      </c>
      <c r="N2" s="103" t="s">
        <v>5</v>
      </c>
      <c r="O2" s="103" t="s">
        <v>36</v>
      </c>
      <c r="P2" s="103" t="s">
        <v>266</v>
      </c>
      <c r="Q2" s="103" t="s">
        <v>278</v>
      </c>
      <c r="R2" s="103" t="s">
        <v>37</v>
      </c>
      <c r="S2" s="103" t="s">
        <v>266</v>
      </c>
      <c r="T2" s="103" t="s">
        <v>38</v>
      </c>
      <c r="U2" s="103" t="s">
        <v>266</v>
      </c>
      <c r="V2" s="103" t="s">
        <v>38</v>
      </c>
      <c r="W2" s="103" t="s">
        <v>266</v>
      </c>
      <c r="X2" s="103" t="s">
        <v>38</v>
      </c>
      <c r="Y2" s="103" t="s">
        <v>266</v>
      </c>
      <c r="Z2" s="103" t="s">
        <v>39</v>
      </c>
      <c r="AA2" s="103" t="s">
        <v>266</v>
      </c>
      <c r="AB2" s="103"/>
      <c r="AC2" s="103" t="s">
        <v>266</v>
      </c>
      <c r="AD2" s="103"/>
      <c r="AE2" s="103" t="s">
        <v>266</v>
      </c>
      <c r="AF2" s="103"/>
      <c r="AG2" s="103" t="s">
        <v>50</v>
      </c>
      <c r="AH2" s="103" t="s">
        <v>266</v>
      </c>
      <c r="AI2" s="103"/>
      <c r="AJ2" s="103"/>
      <c r="AK2" s="103" t="s">
        <v>100</v>
      </c>
      <c r="AL2" s="103"/>
      <c r="AM2" s="103" t="s">
        <v>100</v>
      </c>
      <c r="AN2" s="103"/>
      <c r="AO2" s="103" t="s">
        <v>100</v>
      </c>
      <c r="AP2" s="103"/>
      <c r="AQ2" s="103" t="s">
        <v>100</v>
      </c>
      <c r="AR2" s="103"/>
      <c r="AS2" s="103" t="s">
        <v>5</v>
      </c>
      <c r="AT2" s="103" t="s">
        <v>5</v>
      </c>
      <c r="AU2" s="246"/>
      <c r="AV2" s="102"/>
      <c r="AW2" s="246"/>
      <c r="AX2" s="102"/>
      <c r="AY2" s="246"/>
      <c r="AZ2" s="102"/>
      <c r="BA2" s="246"/>
      <c r="BB2" s="102"/>
      <c r="BC2" s="248"/>
      <c r="BD2" s="104"/>
      <c r="BE2" s="104" t="s">
        <v>514</v>
      </c>
      <c r="BF2" s="104" t="s">
        <v>514</v>
      </c>
      <c r="BG2" s="104"/>
      <c r="BH2" s="104"/>
      <c r="BI2" s="104"/>
      <c r="BJ2" s="246"/>
      <c r="BK2" s="30"/>
      <c r="BL2" s="31"/>
      <c r="BM2" s="242"/>
      <c r="BN2" s="32"/>
    </row>
    <row r="3" spans="1:66" ht="16.5" thickBot="1">
      <c r="A3" s="80" t="s">
        <v>12</v>
      </c>
      <c r="B3" s="80">
        <f>B2+1</f>
        <v>1</v>
      </c>
      <c r="C3" s="5">
        <v>28162</v>
      </c>
      <c r="D3" s="38">
        <v>9.5578703703703694E-2</v>
      </c>
      <c r="E3" s="39"/>
      <c r="F3" s="37">
        <v>53.414999999999999</v>
      </c>
      <c r="G3" s="37">
        <v>-111.33750000000001</v>
      </c>
      <c r="H3" s="20">
        <v>54.414999999999999</v>
      </c>
      <c r="I3" s="20">
        <v>-111.33799999999999</v>
      </c>
      <c r="J3" s="6" t="s">
        <v>240</v>
      </c>
      <c r="K3" s="6">
        <v>4.58</v>
      </c>
      <c r="L3" s="6">
        <v>14.5</v>
      </c>
      <c r="M3" s="6">
        <v>0.1</v>
      </c>
      <c r="N3" s="6">
        <v>2.7</v>
      </c>
      <c r="O3" s="65">
        <v>30</v>
      </c>
      <c r="P3" s="6"/>
      <c r="Q3" s="6" t="e">
        <f t="shared" ref="Q3:Q8" si="0">2*(3*O3/(4*3.1415*$K$150))^0.33333</f>
        <v>#DIV/0!</v>
      </c>
      <c r="R3" s="6">
        <v>-12</v>
      </c>
      <c r="S3" s="6"/>
      <c r="T3" s="6">
        <v>36</v>
      </c>
      <c r="U3" s="6"/>
      <c r="V3" s="6" t="s">
        <v>51</v>
      </c>
      <c r="W3" s="6"/>
      <c r="X3" s="6">
        <v>20</v>
      </c>
      <c r="Y3" s="6"/>
      <c r="Z3" s="6">
        <v>22</v>
      </c>
      <c r="AA3" s="6"/>
      <c r="AB3" s="11">
        <f>0.5*O3*(L3*1000)^2/(4185000000000)</f>
        <v>7.53584229390681E-4</v>
      </c>
      <c r="AC3" s="11"/>
      <c r="AD3" s="22">
        <v>-4.3</v>
      </c>
      <c r="AE3" s="22"/>
      <c r="AF3" s="7" t="s">
        <v>249</v>
      </c>
      <c r="AG3" s="7" t="s">
        <v>52</v>
      </c>
      <c r="AH3" s="7"/>
      <c r="AI3" s="7" t="s">
        <v>82</v>
      </c>
      <c r="AJ3" s="7" t="s">
        <v>131</v>
      </c>
      <c r="AK3" s="7"/>
      <c r="AL3" s="7"/>
      <c r="AM3" s="7"/>
      <c r="AN3" s="7"/>
      <c r="AO3" s="7" t="s">
        <v>103</v>
      </c>
      <c r="AP3" s="68" t="s">
        <v>299</v>
      </c>
      <c r="AQ3" s="7" t="s">
        <v>104</v>
      </c>
      <c r="AR3" s="68" t="s">
        <v>299</v>
      </c>
      <c r="AS3" s="68"/>
      <c r="AT3" s="68"/>
      <c r="AU3" s="6">
        <v>1.87</v>
      </c>
      <c r="AV3" s="6"/>
      <c r="AW3" s="6">
        <v>0.47</v>
      </c>
      <c r="AX3" s="6"/>
      <c r="AY3" s="6">
        <v>12.2</v>
      </c>
      <c r="AZ3" s="6"/>
      <c r="BA3" s="6">
        <v>177.9</v>
      </c>
      <c r="BB3" s="6"/>
      <c r="BC3" s="6">
        <v>317.5</v>
      </c>
      <c r="BD3" s="6"/>
      <c r="BE3" s="6">
        <f t="shared" ref="BE3:BE8" si="1">AU3*(1-AW3)</f>
        <v>0.99110000000000009</v>
      </c>
      <c r="BF3" s="6">
        <f t="shared" ref="BF3:BF8" si="2">AU3*(1+AW3)</f>
        <v>2.7488999999999999</v>
      </c>
      <c r="BG3" s="6"/>
      <c r="BH3" s="6">
        <f>(5.2/AU3+2*(AU3/5.2*(1-AW3^2))^0.5*COS(AY3*3.1415926/180))</f>
        <v>3.8154741026084578</v>
      </c>
      <c r="BI3" s="6"/>
      <c r="BJ3" s="14" t="s">
        <v>508</v>
      </c>
      <c r="BK3" s="33"/>
      <c r="BL3" s="33"/>
      <c r="BM3" s="33"/>
      <c r="BN3" s="33"/>
    </row>
    <row r="4" spans="1:66" ht="32.25" thickBot="1">
      <c r="A4" s="80" t="s">
        <v>236</v>
      </c>
      <c r="B4" s="80">
        <v>22</v>
      </c>
      <c r="C4" s="5">
        <v>41320</v>
      </c>
      <c r="D4" s="38">
        <v>0.13913194444444446</v>
      </c>
      <c r="E4" s="39"/>
      <c r="F4" s="37">
        <v>54.454000000000001</v>
      </c>
      <c r="G4" s="37">
        <v>64.477000000000004</v>
      </c>
      <c r="H4" s="20">
        <v>54.8</v>
      </c>
      <c r="I4" s="20">
        <v>61.2</v>
      </c>
      <c r="J4" s="6" t="s">
        <v>237</v>
      </c>
      <c r="K4" s="6" t="s">
        <v>238</v>
      </c>
      <c r="L4" s="6">
        <v>19.03</v>
      </c>
      <c r="M4" s="6">
        <v>0.13</v>
      </c>
      <c r="N4" s="6">
        <v>3.2</v>
      </c>
      <c r="O4" s="11">
        <v>12000000</v>
      </c>
      <c r="P4" s="11"/>
      <c r="Q4" s="6" t="e">
        <f t="shared" si="0"/>
        <v>#DIV/0!</v>
      </c>
      <c r="R4" s="6">
        <v>-28</v>
      </c>
      <c r="S4" s="6"/>
      <c r="T4" s="6">
        <v>30</v>
      </c>
      <c r="U4" s="6"/>
      <c r="V4" s="6">
        <v>95.1</v>
      </c>
      <c r="W4" s="6"/>
      <c r="X4" s="6">
        <v>12.6</v>
      </c>
      <c r="Y4" s="6"/>
      <c r="Z4" s="6">
        <v>73</v>
      </c>
      <c r="AA4" s="6"/>
      <c r="AB4" s="6">
        <v>500</v>
      </c>
      <c r="AC4" s="6"/>
      <c r="AD4" s="22">
        <v>-4.8</v>
      </c>
      <c r="AE4" s="22"/>
      <c r="AF4" s="7" t="s">
        <v>250</v>
      </c>
      <c r="AG4" s="7" t="s">
        <v>242</v>
      </c>
      <c r="AH4" s="7"/>
      <c r="AI4" s="7" t="s">
        <v>85</v>
      </c>
      <c r="AJ4" s="7" t="s">
        <v>134</v>
      </c>
      <c r="AK4" s="7"/>
      <c r="AL4" s="7"/>
      <c r="AM4" s="7"/>
      <c r="AN4" s="7"/>
      <c r="AO4" s="7" t="s">
        <v>243</v>
      </c>
      <c r="AP4" s="7" t="s">
        <v>328</v>
      </c>
      <c r="AQ4" s="7" t="s">
        <v>244</v>
      </c>
      <c r="AR4" s="7" t="s">
        <v>333</v>
      </c>
      <c r="AS4" s="7"/>
      <c r="AT4" s="7"/>
      <c r="AU4" s="6">
        <v>1.72</v>
      </c>
      <c r="AV4" s="6"/>
      <c r="AW4" s="6">
        <v>0.57099999999999995</v>
      </c>
      <c r="AX4" s="6"/>
      <c r="AY4" s="6">
        <v>4.9800000000000004</v>
      </c>
      <c r="AZ4" s="6"/>
      <c r="BA4" s="6">
        <v>107.67</v>
      </c>
      <c r="BB4" s="6"/>
      <c r="BC4" s="6">
        <v>326.459</v>
      </c>
      <c r="BD4" s="6"/>
      <c r="BE4" s="6">
        <f t="shared" si="1"/>
        <v>0.73788000000000009</v>
      </c>
      <c r="BF4" s="6">
        <f t="shared" si="2"/>
        <v>2.7021199999999999</v>
      </c>
      <c r="BG4" s="6"/>
      <c r="BH4" s="6">
        <f>(5.2/AU4+2*(AU4/5.2*(1-AW4^2))^0.5*COS(AY4*3.1415926/180))</f>
        <v>3.9639896142397744</v>
      </c>
      <c r="BI4" s="6"/>
      <c r="BJ4" s="14" t="s">
        <v>510</v>
      </c>
      <c r="BK4" s="33"/>
      <c r="BL4" s="33"/>
      <c r="BM4" s="33">
        <v>3220</v>
      </c>
      <c r="BN4" s="33"/>
    </row>
    <row r="5" spans="1:66" s="95" customFormat="1" ht="16.5" thickBot="1">
      <c r="A5" s="82" t="s">
        <v>359</v>
      </c>
      <c r="B5" s="82">
        <v>27</v>
      </c>
      <c r="C5" s="83">
        <v>42435</v>
      </c>
      <c r="D5" s="84">
        <v>0.89989583333333334</v>
      </c>
      <c r="E5" s="85"/>
      <c r="F5" s="86"/>
      <c r="G5" s="86"/>
      <c r="H5" s="87">
        <v>48.305999999999997</v>
      </c>
      <c r="I5" s="86">
        <v>13.093</v>
      </c>
      <c r="J5" s="88" t="s">
        <v>360</v>
      </c>
      <c r="K5" s="88">
        <v>1.4730000000000001</v>
      </c>
      <c r="L5" s="88">
        <v>13.91</v>
      </c>
      <c r="M5" s="88"/>
      <c r="N5" s="88"/>
      <c r="O5" s="89">
        <v>450</v>
      </c>
      <c r="P5" s="90"/>
      <c r="Q5" s="88" t="e">
        <f t="shared" si="0"/>
        <v>#DIV/0!</v>
      </c>
      <c r="R5" s="88">
        <v>-15.4</v>
      </c>
      <c r="S5" s="88"/>
      <c r="T5" s="88"/>
      <c r="U5" s="88"/>
      <c r="V5" s="88">
        <v>86</v>
      </c>
      <c r="W5" s="88"/>
      <c r="X5" s="88">
        <v>17.600000000000001</v>
      </c>
      <c r="Y5" s="88"/>
      <c r="Z5" s="88">
        <v>20</v>
      </c>
      <c r="AA5" s="88">
        <v>19.600000000000001</v>
      </c>
      <c r="AB5" s="91">
        <f>0.5*O5*(L5*1000)^2/(4185000000000)</f>
        <v>1.0402586021505376E-2</v>
      </c>
      <c r="AC5" s="88"/>
      <c r="AD5" s="92">
        <v>-4.5999999999999996</v>
      </c>
      <c r="AE5" s="92"/>
      <c r="AF5" s="93" t="s">
        <v>249</v>
      </c>
      <c r="AG5" s="93" t="s">
        <v>361</v>
      </c>
      <c r="AH5" s="93"/>
      <c r="AI5" s="93" t="s">
        <v>370</v>
      </c>
      <c r="AJ5" s="93" t="s">
        <v>131</v>
      </c>
      <c r="AK5" s="93"/>
      <c r="AL5" s="93"/>
      <c r="AM5" s="93"/>
      <c r="AN5" s="93"/>
      <c r="AO5" s="93"/>
      <c r="AP5" s="93"/>
      <c r="AQ5" s="93"/>
      <c r="AR5" s="93"/>
      <c r="AS5" s="93"/>
      <c r="AT5" s="93"/>
      <c r="AU5" s="88">
        <v>1.5249999999999999</v>
      </c>
      <c r="AV5" s="88"/>
      <c r="AW5" s="88">
        <v>0.39500000000000002</v>
      </c>
      <c r="AX5" s="88"/>
      <c r="AY5" s="88">
        <v>2.0699999999999998</v>
      </c>
      <c r="AZ5" s="88"/>
      <c r="BA5" s="88">
        <v>221.02</v>
      </c>
      <c r="BB5" s="88"/>
      <c r="BC5" s="88">
        <v>346.5197</v>
      </c>
      <c r="BD5" s="88"/>
      <c r="BE5" s="6">
        <f t="shared" si="1"/>
        <v>0.92262499999999992</v>
      </c>
      <c r="BF5" s="6">
        <f t="shared" si="2"/>
        <v>2.1273749999999998</v>
      </c>
      <c r="BG5" s="88"/>
      <c r="BH5" s="91">
        <f>(5.2/AU5+2*(AU5/5.2*(1-AW5^2))^0.5*COS(AY5*3.1415926/180))</f>
        <v>4.4041981191487221</v>
      </c>
      <c r="BI5" s="88"/>
      <c r="BJ5" s="96" t="s">
        <v>511</v>
      </c>
      <c r="BK5" s="94"/>
      <c r="BL5" s="94"/>
      <c r="BM5" s="94"/>
      <c r="BN5" s="94"/>
    </row>
    <row r="6" spans="1:66" s="95" customFormat="1" ht="32.25" thickBot="1">
      <c r="A6" s="82" t="s">
        <v>396</v>
      </c>
      <c r="B6" s="82">
        <v>28</v>
      </c>
      <c r="C6" s="83">
        <v>42523</v>
      </c>
      <c r="D6" s="84">
        <v>0.45585648148148145</v>
      </c>
      <c r="E6" s="85"/>
      <c r="F6" s="86">
        <v>34.590000000000003</v>
      </c>
      <c r="G6" s="86">
        <v>-110.45</v>
      </c>
      <c r="H6" s="87">
        <v>33.883000000000003</v>
      </c>
      <c r="I6" s="86">
        <v>-110.64700000000001</v>
      </c>
      <c r="J6" s="88" t="s">
        <v>397</v>
      </c>
      <c r="K6" s="88">
        <v>7.9000000000000001E-2</v>
      </c>
      <c r="L6" s="88">
        <v>16.559999999999999</v>
      </c>
      <c r="M6" s="88">
        <v>0.17</v>
      </c>
      <c r="N6" s="88"/>
      <c r="O6" s="89">
        <v>1050</v>
      </c>
      <c r="P6" s="90"/>
      <c r="Q6" s="88" t="e">
        <f t="shared" si="0"/>
        <v>#DIV/0!</v>
      </c>
      <c r="R6" s="88">
        <v>-16</v>
      </c>
      <c r="S6" s="88"/>
      <c r="T6" s="88">
        <v>30</v>
      </c>
      <c r="U6" s="88"/>
      <c r="V6" s="88">
        <v>108.49</v>
      </c>
      <c r="W6" s="88">
        <v>0.41</v>
      </c>
      <c r="X6" s="88">
        <v>42</v>
      </c>
      <c r="Y6" s="88">
        <v>0.5</v>
      </c>
      <c r="Z6" s="88"/>
      <c r="AA6" s="88"/>
      <c r="AB6" s="91">
        <f>0.5*O6*(L6*1000)^2/(4185000000000)</f>
        <v>3.4402064516129031E-2</v>
      </c>
      <c r="AC6" s="88"/>
      <c r="AD6" s="92"/>
      <c r="AE6" s="92"/>
      <c r="AF6" s="93"/>
      <c r="AG6" s="93" t="s">
        <v>398</v>
      </c>
      <c r="AH6" s="93"/>
      <c r="AI6" s="93" t="s">
        <v>469</v>
      </c>
      <c r="AJ6" s="93" t="s">
        <v>131</v>
      </c>
      <c r="AK6" s="93" t="s">
        <v>460</v>
      </c>
      <c r="AL6" s="93" t="s">
        <v>461</v>
      </c>
      <c r="AM6" s="93" t="s">
        <v>462</v>
      </c>
      <c r="AN6" s="93" t="s">
        <v>463</v>
      </c>
      <c r="AO6" s="93" t="s">
        <v>464</v>
      </c>
      <c r="AP6" s="93" t="s">
        <v>465</v>
      </c>
      <c r="AQ6" s="93" t="s">
        <v>466</v>
      </c>
      <c r="AR6" s="93" t="s">
        <v>467</v>
      </c>
      <c r="AS6" s="93" t="s">
        <v>479</v>
      </c>
      <c r="AT6" s="93" t="s">
        <v>446</v>
      </c>
      <c r="AU6" s="88">
        <v>1.129</v>
      </c>
      <c r="AV6" s="88">
        <v>8.0000000000000002E-3</v>
      </c>
      <c r="AW6" s="88">
        <v>0.20499999999999999</v>
      </c>
      <c r="AX6" s="88">
        <v>4.0000000000000001E-3</v>
      </c>
      <c r="AY6" s="88">
        <v>21.24</v>
      </c>
      <c r="AZ6" s="88">
        <v>0.27</v>
      </c>
      <c r="BA6" s="88">
        <v>108.7</v>
      </c>
      <c r="BB6" s="88">
        <v>1.5</v>
      </c>
      <c r="BC6" s="88">
        <v>72.120599999999996</v>
      </c>
      <c r="BD6" s="88">
        <v>2.0000000000000001E-4</v>
      </c>
      <c r="BE6" s="6">
        <f t="shared" si="1"/>
        <v>0.8975550000000001</v>
      </c>
      <c r="BF6" s="6">
        <f t="shared" si="2"/>
        <v>1.3604450000000001</v>
      </c>
      <c r="BG6" s="88"/>
      <c r="BH6" s="91">
        <f>(5.2/AU6+2*(AU6/5.2*(1-AW6^2))^0.5*COS(AY6*3.1415926/180))</f>
        <v>5.4560073773782758</v>
      </c>
      <c r="BI6" s="88"/>
      <c r="BJ6" s="96" t="s">
        <v>512</v>
      </c>
      <c r="BK6" s="94"/>
      <c r="BL6" s="94"/>
      <c r="BM6" s="94">
        <v>3500</v>
      </c>
      <c r="BN6" s="94"/>
    </row>
    <row r="7" spans="1:66" s="95" customFormat="1" ht="16.5" thickBot="1">
      <c r="A7" s="82" t="s">
        <v>433</v>
      </c>
      <c r="B7" s="82">
        <v>33</v>
      </c>
      <c r="C7" s="83">
        <v>42674</v>
      </c>
      <c r="D7" s="84">
        <v>8.5960648148148147E-2</v>
      </c>
      <c r="E7" s="85"/>
      <c r="F7" s="86">
        <v>-28.775759999999998</v>
      </c>
      <c r="G7" s="87">
        <v>116.41678</v>
      </c>
      <c r="H7" s="95">
        <v>-29.20608</v>
      </c>
      <c r="I7" s="86">
        <v>116.21547</v>
      </c>
      <c r="J7" s="88" t="s">
        <v>459</v>
      </c>
      <c r="K7" s="88">
        <v>1.1499999999999999</v>
      </c>
      <c r="L7" s="88">
        <v>15.443</v>
      </c>
      <c r="M7" s="88">
        <v>0.06</v>
      </c>
      <c r="N7" s="88">
        <v>3.2429999999999999</v>
      </c>
      <c r="O7" s="89"/>
      <c r="P7" s="90"/>
      <c r="Q7" s="88" t="e">
        <f t="shared" si="0"/>
        <v>#DIV/0!</v>
      </c>
      <c r="R7" s="88"/>
      <c r="S7" s="88"/>
      <c r="T7" s="88">
        <v>32</v>
      </c>
      <c r="U7" s="88"/>
      <c r="V7" s="88">
        <v>80.599999999999994</v>
      </c>
      <c r="W7" s="88"/>
      <c r="X7" s="88">
        <v>19.100000000000001</v>
      </c>
      <c r="Y7" s="88"/>
      <c r="Z7" s="88">
        <v>39</v>
      </c>
      <c r="AA7" s="88"/>
      <c r="AB7" s="91">
        <v>1.4E-3</v>
      </c>
      <c r="AC7" s="88"/>
      <c r="AD7" s="92">
        <v>-4.0999999999999996</v>
      </c>
      <c r="AE7" s="92"/>
      <c r="AF7" s="93" t="s">
        <v>249</v>
      </c>
      <c r="AG7" s="93" t="s">
        <v>344</v>
      </c>
      <c r="AH7" s="93"/>
      <c r="AI7" s="93" t="s">
        <v>435</v>
      </c>
      <c r="AJ7" s="93" t="s">
        <v>131</v>
      </c>
      <c r="AK7" s="93"/>
      <c r="AL7" s="93"/>
      <c r="AM7" s="93"/>
      <c r="AN7" s="93"/>
      <c r="AO7" s="93" t="s">
        <v>436</v>
      </c>
      <c r="AP7" s="93" t="s">
        <v>437</v>
      </c>
      <c r="AQ7" s="93" t="s">
        <v>438</v>
      </c>
      <c r="AR7" s="93" t="s">
        <v>439</v>
      </c>
      <c r="AS7" s="93" t="s">
        <v>492</v>
      </c>
      <c r="AT7" s="93" t="s">
        <v>493</v>
      </c>
      <c r="AU7" s="88">
        <v>2.254</v>
      </c>
      <c r="AV7" s="88">
        <v>3.4000000000000002E-2</v>
      </c>
      <c r="AW7" s="88">
        <v>0.59040000000000004</v>
      </c>
      <c r="AX7" s="88">
        <v>6.3E-3</v>
      </c>
      <c r="AY7" s="88">
        <v>4.0510000000000002</v>
      </c>
      <c r="AZ7" s="88">
        <v>1.2E-2</v>
      </c>
      <c r="BA7" s="88">
        <v>215.773</v>
      </c>
      <c r="BB7" s="88">
        <v>4.9000000000000002E-2</v>
      </c>
      <c r="BC7" s="88">
        <v>218.25200000000001</v>
      </c>
      <c r="BD7" s="88"/>
      <c r="BE7" s="6">
        <f t="shared" si="1"/>
        <v>0.9232383999999999</v>
      </c>
      <c r="BF7" s="6">
        <f t="shared" si="2"/>
        <v>3.5847616000000002</v>
      </c>
      <c r="BG7" s="88"/>
      <c r="BH7" s="91">
        <f>(5.2/AU7+2*(AU7/5.2*(1-AW7^2))^0.5*COS(AY7*3.1415926/180))</f>
        <v>3.3671224239107636</v>
      </c>
      <c r="BI7" s="88"/>
      <c r="BJ7" s="97" t="s">
        <v>513</v>
      </c>
      <c r="BK7" s="94"/>
      <c r="BL7" s="94"/>
      <c r="BM7" s="94">
        <v>3450</v>
      </c>
      <c r="BN7" s="94">
        <v>33</v>
      </c>
    </row>
    <row r="8" spans="1:66" s="95" customFormat="1" ht="16.5" thickBot="1">
      <c r="A8" s="82" t="s">
        <v>503</v>
      </c>
      <c r="B8" s="82">
        <v>33</v>
      </c>
      <c r="C8" s="83">
        <v>44473</v>
      </c>
      <c r="D8" s="84">
        <v>8.5960648148148147E-2</v>
      </c>
      <c r="E8" s="85"/>
      <c r="F8" s="86">
        <v>-28.775759999999998</v>
      </c>
      <c r="G8" s="87">
        <v>116.41678</v>
      </c>
      <c r="H8" s="95">
        <v>-29.20608</v>
      </c>
      <c r="I8" s="86">
        <v>116.21547</v>
      </c>
      <c r="J8" s="88" t="s">
        <v>504</v>
      </c>
      <c r="K8" s="88">
        <v>2.2000000000000002</v>
      </c>
      <c r="L8" s="88">
        <v>17.899999999999999</v>
      </c>
      <c r="M8" s="88">
        <v>0.06</v>
      </c>
      <c r="N8" s="88">
        <v>3.2429999999999999</v>
      </c>
      <c r="O8" s="89">
        <v>30</v>
      </c>
      <c r="P8" s="90"/>
      <c r="Q8" s="88" t="e">
        <f t="shared" si="0"/>
        <v>#DIV/0!</v>
      </c>
      <c r="R8" s="88">
        <v>-12</v>
      </c>
      <c r="S8" s="88"/>
      <c r="T8" s="88">
        <v>32</v>
      </c>
      <c r="U8" s="88"/>
      <c r="V8" s="88">
        <v>80.599999999999994</v>
      </c>
      <c r="W8" s="88"/>
      <c r="X8" s="88">
        <v>19.100000000000001</v>
      </c>
      <c r="Y8" s="88"/>
      <c r="Z8" s="88">
        <v>39</v>
      </c>
      <c r="AA8" s="88"/>
      <c r="AB8" s="91">
        <v>1.4E-3</v>
      </c>
      <c r="AC8" s="88"/>
      <c r="AD8" s="92">
        <v>-4.0999999999999996</v>
      </c>
      <c r="AE8" s="92"/>
      <c r="AF8" s="93" t="s">
        <v>249</v>
      </c>
      <c r="AG8" s="93" t="s">
        <v>344</v>
      </c>
      <c r="AH8" s="93"/>
      <c r="AI8" s="93" t="s">
        <v>435</v>
      </c>
      <c r="AJ8" s="93" t="s">
        <v>131</v>
      </c>
      <c r="AK8" s="93"/>
      <c r="AL8" s="93"/>
      <c r="AM8" s="93"/>
      <c r="AN8" s="93"/>
      <c r="AO8" s="93" t="s">
        <v>436</v>
      </c>
      <c r="AP8" s="93" t="s">
        <v>437</v>
      </c>
      <c r="AQ8" s="93" t="s">
        <v>438</v>
      </c>
      <c r="AR8" s="93" t="s">
        <v>439</v>
      </c>
      <c r="AS8" s="93" t="s">
        <v>492</v>
      </c>
      <c r="AT8" s="93" t="s">
        <v>493</v>
      </c>
      <c r="AU8" s="88">
        <v>1.58</v>
      </c>
      <c r="AV8" s="88">
        <v>3.4000000000000002E-2</v>
      </c>
      <c r="AW8" s="88">
        <v>0.36599999999999999</v>
      </c>
      <c r="AX8" s="88">
        <v>6.3E-3</v>
      </c>
      <c r="AY8" s="88">
        <v>23.5</v>
      </c>
      <c r="AZ8" s="88">
        <v>1.2E-2</v>
      </c>
      <c r="BA8" s="88">
        <v>177</v>
      </c>
      <c r="BB8" s="88">
        <v>4.9000000000000002E-2</v>
      </c>
      <c r="BC8" s="88">
        <v>190.91900000000001</v>
      </c>
      <c r="BD8" s="88"/>
      <c r="BE8" s="6">
        <f t="shared" si="1"/>
        <v>1.0017200000000002</v>
      </c>
      <c r="BF8" s="6">
        <f t="shared" si="2"/>
        <v>2.1582800000000004</v>
      </c>
      <c r="BG8" s="88"/>
      <c r="BH8" s="91">
        <v>4.2</v>
      </c>
      <c r="BI8" s="88"/>
      <c r="BJ8" s="96" t="s">
        <v>505</v>
      </c>
      <c r="BK8" s="94"/>
      <c r="BL8" s="94"/>
      <c r="BM8" s="94">
        <v>3450</v>
      </c>
      <c r="BN8" s="94">
        <v>33</v>
      </c>
    </row>
  </sheetData>
  <mergeCells count="12">
    <mergeCell ref="BM1:BM2"/>
    <mergeCell ref="A1:A2"/>
    <mergeCell ref="B1:B2"/>
    <mergeCell ref="C1:C2"/>
    <mergeCell ref="J1:J2"/>
    <mergeCell ref="K1:K2"/>
    <mergeCell ref="AU1:AU2"/>
    <mergeCell ref="AW1:AW2"/>
    <mergeCell ref="AY1:AY2"/>
    <mergeCell ref="BA1:BA2"/>
    <mergeCell ref="BC1:BC2"/>
    <mergeCell ref="BJ1:BJ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1"/>
  <sheetViews>
    <sheetView workbookViewId="0">
      <selection activeCell="C3" sqref="C3"/>
    </sheetView>
  </sheetViews>
  <sheetFormatPr defaultRowHeight="15"/>
  <cols>
    <col min="1" max="1" width="20.28515625" customWidth="1"/>
    <col min="2" max="2" width="19.85546875" customWidth="1"/>
    <col min="12" max="12" width="22.7109375" customWidth="1"/>
  </cols>
  <sheetData>
    <row r="1" spans="1:15">
      <c r="A1" t="s">
        <v>68</v>
      </c>
      <c r="B1" t="s">
        <v>61</v>
      </c>
      <c r="C1" s="8">
        <v>2.1800000000000001E-5</v>
      </c>
      <c r="D1" t="s">
        <v>400</v>
      </c>
      <c r="E1">
        <v>29</v>
      </c>
      <c r="F1" t="s">
        <v>38</v>
      </c>
      <c r="G1" t="s">
        <v>347</v>
      </c>
      <c r="H1" t="s">
        <v>401</v>
      </c>
      <c r="K1" t="s">
        <v>499</v>
      </c>
      <c r="M1">
        <v>0</v>
      </c>
      <c r="N1" s="8">
        <v>1.242E-3</v>
      </c>
      <c r="O1" s="8">
        <f>N1*1000</f>
        <v>1.242</v>
      </c>
    </row>
    <row r="2" spans="1:15">
      <c r="A2" t="s">
        <v>63</v>
      </c>
      <c r="B2" t="s">
        <v>62</v>
      </c>
      <c r="C2" s="8">
        <v>100000</v>
      </c>
      <c r="H2" t="s">
        <v>402</v>
      </c>
      <c r="L2" t="s">
        <v>500</v>
      </c>
      <c r="M2">
        <v>1</v>
      </c>
      <c r="N2" s="8">
        <v>1.114E-3</v>
      </c>
      <c r="O2" s="8">
        <f t="shared" ref="O2:O65" si="0">N2*1000</f>
        <v>1.1139999999999999</v>
      </c>
    </row>
    <row r="3" spans="1:15">
      <c r="A3" t="s">
        <v>64</v>
      </c>
      <c r="B3" t="s">
        <v>65</v>
      </c>
      <c r="C3">
        <v>14.5</v>
      </c>
      <c r="M3">
        <v>2</v>
      </c>
      <c r="N3" s="8">
        <v>1.0059999999999999E-3</v>
      </c>
      <c r="O3" s="8">
        <f t="shared" si="0"/>
        <v>1.006</v>
      </c>
    </row>
    <row r="4" spans="1:15">
      <c r="A4" t="s">
        <v>66</v>
      </c>
      <c r="B4" t="s">
        <v>67</v>
      </c>
      <c r="C4">
        <v>30</v>
      </c>
      <c r="M4">
        <v>3</v>
      </c>
      <c r="N4" s="8">
        <v>9.1049999999999996E-4</v>
      </c>
      <c r="O4" s="8">
        <f t="shared" si="0"/>
        <v>0.91049999999999998</v>
      </c>
    </row>
    <row r="5" spans="1:15">
      <c r="M5">
        <v>4</v>
      </c>
      <c r="N5" s="8">
        <v>8.2459999999999999E-4</v>
      </c>
      <c r="O5" s="8">
        <f t="shared" si="0"/>
        <v>0.8246</v>
      </c>
    </row>
    <row r="6" spans="1:15">
      <c r="A6" t="s">
        <v>60</v>
      </c>
      <c r="B6" s="8">
        <f>LOG(C1)-0.42*LOG(C2)+1.49*LOG(C3)-1.29*LOG(COS(C4*3.1415/180))</f>
        <v>-4.9505246927362201</v>
      </c>
      <c r="M6">
        <v>5</v>
      </c>
      <c r="N6" s="8">
        <v>7.4540000000000001E-4</v>
      </c>
      <c r="O6" s="8">
        <f t="shared" si="0"/>
        <v>0.74540000000000006</v>
      </c>
    </row>
    <row r="7" spans="1:15">
      <c r="M7">
        <v>6</v>
      </c>
      <c r="N7" s="8">
        <v>6.715E-4</v>
      </c>
      <c r="O7" s="8">
        <f t="shared" si="0"/>
        <v>0.67149999999999999</v>
      </c>
    </row>
    <row r="8" spans="1:15">
      <c r="M8">
        <v>7</v>
      </c>
      <c r="N8" s="8">
        <v>6.0190000000000005E-4</v>
      </c>
      <c r="O8" s="8">
        <f t="shared" si="0"/>
        <v>0.6019000000000001</v>
      </c>
    </row>
    <row r="9" spans="1:15">
      <c r="M9">
        <v>8</v>
      </c>
      <c r="N9" s="8">
        <v>5.3629999999999997E-4</v>
      </c>
      <c r="O9" s="8">
        <f t="shared" si="0"/>
        <v>0.5363</v>
      </c>
    </row>
    <row r="10" spans="1:15">
      <c r="M10">
        <v>9</v>
      </c>
      <c r="N10" s="8">
        <v>4.7449999999999999E-4</v>
      </c>
      <c r="O10" s="8">
        <f t="shared" si="0"/>
        <v>0.47449999999999998</v>
      </c>
    </row>
    <row r="11" spans="1:15">
      <c r="M11">
        <v>10</v>
      </c>
      <c r="N11" s="8">
        <v>4.1669999999999999E-4</v>
      </c>
      <c r="O11" s="8">
        <f t="shared" si="0"/>
        <v>0.41670000000000001</v>
      </c>
    </row>
    <row r="12" spans="1:15">
      <c r="A12" t="s">
        <v>414</v>
      </c>
      <c r="B12">
        <f>1.333*3.14*B14*B15^3</f>
        <v>48.736312875000003</v>
      </c>
      <c r="M12">
        <v>11</v>
      </c>
      <c r="N12" s="8">
        <v>3.6329999999999999E-4</v>
      </c>
      <c r="O12" s="8">
        <f t="shared" si="0"/>
        <v>0.36330000000000001</v>
      </c>
    </row>
    <row r="13" spans="1:15">
      <c r="M13">
        <v>12</v>
      </c>
      <c r="N13" s="8">
        <v>3.1480000000000001E-4</v>
      </c>
      <c r="O13" s="8">
        <f t="shared" si="0"/>
        <v>0.31480000000000002</v>
      </c>
    </row>
    <row r="14" spans="1:15">
      <c r="A14" t="s">
        <v>415</v>
      </c>
      <c r="B14">
        <v>3450</v>
      </c>
      <c r="C14" t="s">
        <v>281</v>
      </c>
      <c r="M14">
        <v>13</v>
      </c>
      <c r="N14" s="8">
        <v>2.7149999999999999E-4</v>
      </c>
      <c r="O14" s="8">
        <f t="shared" si="0"/>
        <v>0.27149999999999996</v>
      </c>
    </row>
    <row r="15" spans="1:15">
      <c r="A15" t="s">
        <v>416</v>
      </c>
      <c r="B15">
        <v>0.15</v>
      </c>
      <c r="C15" t="s">
        <v>417</v>
      </c>
      <c r="M15">
        <v>14</v>
      </c>
      <c r="N15" s="8">
        <v>2.3340000000000001E-4</v>
      </c>
      <c r="O15" s="8">
        <f t="shared" si="0"/>
        <v>0.2334</v>
      </c>
    </row>
    <row r="16" spans="1:15">
      <c r="M16">
        <v>15</v>
      </c>
      <c r="N16" s="8">
        <v>2.0019999999999999E-4</v>
      </c>
      <c r="O16" s="8">
        <f t="shared" si="0"/>
        <v>0.20019999999999999</v>
      </c>
    </row>
    <row r="17" spans="1:17">
      <c r="A17" t="s">
        <v>429</v>
      </c>
      <c r="B17">
        <f>0.5*B12*(C3*1000)^2/4185000000000</f>
        <v>1.2242305593750001E-3</v>
      </c>
      <c r="C17" t="s">
        <v>430</v>
      </c>
      <c r="M17">
        <v>16</v>
      </c>
      <c r="N17" s="8">
        <v>1.7149999999999999E-4</v>
      </c>
      <c r="O17" s="8">
        <f t="shared" si="0"/>
        <v>0.17149999999999999</v>
      </c>
    </row>
    <row r="18" spans="1:17">
      <c r="M18">
        <v>17</v>
      </c>
      <c r="N18" s="8">
        <v>1.4669999999999999E-4</v>
      </c>
      <c r="O18" s="8">
        <f t="shared" si="0"/>
        <v>0.1467</v>
      </c>
    </row>
    <row r="19" spans="1:17">
      <c r="A19" t="s">
        <v>501</v>
      </c>
      <c r="B19" s="8" t="str">
        <f>C3^2&amp;1000000*O20/1000000</f>
        <v>210.250.1072</v>
      </c>
      <c r="C19" t="s">
        <v>502</v>
      </c>
      <c r="M19">
        <v>18</v>
      </c>
      <c r="N19" s="8">
        <v>1.2549999999999999E-4</v>
      </c>
      <c r="O19" s="8">
        <f t="shared" si="0"/>
        <v>0.1255</v>
      </c>
    </row>
    <row r="20" spans="1:17">
      <c r="M20">
        <v>19</v>
      </c>
      <c r="N20" s="8">
        <v>1.072E-4</v>
      </c>
      <c r="O20" s="8">
        <f t="shared" si="0"/>
        <v>0.1072</v>
      </c>
    </row>
    <row r="21" spans="1:17">
      <c r="M21">
        <v>20</v>
      </c>
      <c r="N21" s="8">
        <v>9.1559999999999998E-5</v>
      </c>
      <c r="O21" s="8">
        <f t="shared" si="0"/>
        <v>9.1560000000000002E-2</v>
      </c>
      <c r="Q21" s="8">
        <f>O21*20000^2</f>
        <v>36624000</v>
      </c>
    </row>
    <row r="22" spans="1:17">
      <c r="M22">
        <v>21</v>
      </c>
      <c r="N22" s="8">
        <v>7.8170000000000005E-5</v>
      </c>
      <c r="O22" s="8">
        <f t="shared" si="0"/>
        <v>7.8170000000000003E-2</v>
      </c>
    </row>
    <row r="23" spans="1:17">
      <c r="M23">
        <v>22</v>
      </c>
      <c r="N23" s="8">
        <v>6.6710000000000003E-5</v>
      </c>
      <c r="O23" s="8">
        <f t="shared" si="0"/>
        <v>6.6710000000000005E-2</v>
      </c>
    </row>
    <row r="24" spans="1:17">
      <c r="M24">
        <v>23</v>
      </c>
      <c r="N24" s="8">
        <v>5.6919999999999997E-5</v>
      </c>
      <c r="O24" s="8">
        <f t="shared" si="0"/>
        <v>5.6919999999999998E-2</v>
      </c>
    </row>
    <row r="25" spans="1:17">
      <c r="M25">
        <v>24</v>
      </c>
      <c r="N25" s="8">
        <v>4.8550000000000001E-5</v>
      </c>
      <c r="O25" s="8">
        <f t="shared" si="0"/>
        <v>4.8550000000000003E-2</v>
      </c>
    </row>
    <row r="26" spans="1:17">
      <c r="M26">
        <v>25</v>
      </c>
      <c r="N26" s="8">
        <v>4.1399999999999997E-5</v>
      </c>
      <c r="O26" s="8">
        <f t="shared" si="0"/>
        <v>4.1399999999999999E-2</v>
      </c>
    </row>
    <row r="27" spans="1:17">
      <c r="M27">
        <v>26</v>
      </c>
      <c r="N27" s="8">
        <v>3.5290000000000003E-5</v>
      </c>
      <c r="O27" s="8">
        <f t="shared" si="0"/>
        <v>3.5290000000000002E-2</v>
      </c>
    </row>
    <row r="28" spans="1:17">
      <c r="M28">
        <v>27</v>
      </c>
      <c r="N28" s="8">
        <v>3.008E-5</v>
      </c>
      <c r="O28" s="8">
        <f t="shared" si="0"/>
        <v>3.0079999999999999E-2</v>
      </c>
    </row>
    <row r="29" spans="1:17">
      <c r="M29">
        <v>28</v>
      </c>
      <c r="N29" s="8">
        <v>2.563E-5</v>
      </c>
      <c r="O29" s="8">
        <f t="shared" si="0"/>
        <v>2.563E-2</v>
      </c>
    </row>
    <row r="30" spans="1:17">
      <c r="M30">
        <v>29</v>
      </c>
      <c r="N30" s="8">
        <v>2.1840000000000001E-5</v>
      </c>
      <c r="O30" s="8">
        <f t="shared" si="0"/>
        <v>2.1840000000000002E-2</v>
      </c>
    </row>
    <row r="31" spans="1:17">
      <c r="M31">
        <v>30</v>
      </c>
      <c r="N31" s="8">
        <v>1.861E-5</v>
      </c>
      <c r="O31" s="8">
        <f t="shared" si="0"/>
        <v>1.8609999999999998E-2</v>
      </c>
    </row>
    <row r="32" spans="1:17">
      <c r="M32">
        <v>31</v>
      </c>
      <c r="N32" s="8">
        <v>1.5849999999999999E-5</v>
      </c>
      <c r="O32" s="8">
        <f t="shared" si="0"/>
        <v>1.585E-2</v>
      </c>
    </row>
    <row r="33" spans="13:15">
      <c r="M33">
        <v>32</v>
      </c>
      <c r="N33" s="8">
        <v>1.3509999999999999E-5</v>
      </c>
      <c r="O33" s="8">
        <f t="shared" si="0"/>
        <v>1.3509999999999999E-2</v>
      </c>
    </row>
    <row r="34" spans="13:15">
      <c r="M34">
        <v>33</v>
      </c>
      <c r="N34" s="8">
        <v>1.151E-5</v>
      </c>
      <c r="O34" s="8">
        <f t="shared" si="0"/>
        <v>1.1509999999999999E-2</v>
      </c>
    </row>
    <row r="35" spans="13:15">
      <c r="M35">
        <v>34</v>
      </c>
      <c r="N35" s="8">
        <v>9.8169999999999994E-6</v>
      </c>
      <c r="O35" s="8">
        <f t="shared" si="0"/>
        <v>9.8169999999999993E-3</v>
      </c>
    </row>
    <row r="36" spans="13:15">
      <c r="M36">
        <v>35</v>
      </c>
      <c r="N36" s="8">
        <v>8.3769999999999996E-6</v>
      </c>
      <c r="O36" s="8">
        <f t="shared" si="0"/>
        <v>8.376999999999999E-3</v>
      </c>
    </row>
    <row r="37" spans="13:15">
      <c r="M37">
        <v>36</v>
      </c>
      <c r="N37" s="8">
        <v>7.1559999999999998E-6</v>
      </c>
      <c r="O37" s="8">
        <f t="shared" si="0"/>
        <v>7.156E-3</v>
      </c>
    </row>
    <row r="38" spans="13:15">
      <c r="M38">
        <v>37</v>
      </c>
      <c r="N38" s="8">
        <v>6.122E-6</v>
      </c>
      <c r="O38" s="8">
        <f t="shared" si="0"/>
        <v>6.1219999999999998E-3</v>
      </c>
    </row>
    <row r="39" spans="13:15">
      <c r="M39">
        <v>38</v>
      </c>
      <c r="N39" s="8">
        <v>5.2469999999999999E-6</v>
      </c>
      <c r="O39" s="8">
        <f t="shared" si="0"/>
        <v>5.2469999999999999E-3</v>
      </c>
    </row>
    <row r="40" spans="13:15">
      <c r="M40">
        <v>39</v>
      </c>
      <c r="N40" s="8">
        <v>4.5059999999999997E-6</v>
      </c>
      <c r="O40" s="8">
        <f t="shared" si="0"/>
        <v>4.5059999999999996E-3</v>
      </c>
    </row>
    <row r="41" spans="13:15">
      <c r="M41">
        <v>40</v>
      </c>
      <c r="N41" s="8">
        <v>3.878E-6</v>
      </c>
      <c r="O41" s="8">
        <f t="shared" si="0"/>
        <v>3.8779999999999999E-3</v>
      </c>
    </row>
    <row r="42" spans="13:15">
      <c r="M42">
        <v>41</v>
      </c>
      <c r="N42" s="8">
        <v>3.3450000000000002E-6</v>
      </c>
      <c r="O42" s="8">
        <f t="shared" si="0"/>
        <v>3.3450000000000003E-3</v>
      </c>
    </row>
    <row r="43" spans="13:15">
      <c r="M43">
        <v>42</v>
      </c>
      <c r="N43" s="8">
        <v>2.8940000000000002E-6</v>
      </c>
      <c r="O43" s="8">
        <f t="shared" si="0"/>
        <v>2.8940000000000003E-3</v>
      </c>
    </row>
    <row r="44" spans="13:15">
      <c r="M44">
        <v>43</v>
      </c>
      <c r="N44" s="8">
        <v>2.5100000000000001E-6</v>
      </c>
      <c r="O44" s="8">
        <f t="shared" si="0"/>
        <v>2.5100000000000001E-3</v>
      </c>
    </row>
    <row r="45" spans="13:15">
      <c r="M45">
        <v>44</v>
      </c>
      <c r="N45" s="8">
        <v>2.1830000000000001E-6</v>
      </c>
      <c r="O45" s="8">
        <f t="shared" si="0"/>
        <v>2.183E-3</v>
      </c>
    </row>
    <row r="46" spans="13:15">
      <c r="M46">
        <v>45</v>
      </c>
      <c r="N46" s="8">
        <v>1.905E-6</v>
      </c>
      <c r="O46" s="8">
        <f t="shared" si="0"/>
        <v>1.905E-3</v>
      </c>
    </row>
    <row r="47" spans="13:15">
      <c r="M47">
        <v>46</v>
      </c>
      <c r="N47" s="8">
        <v>1.666E-6</v>
      </c>
      <c r="O47" s="8">
        <f t="shared" si="0"/>
        <v>1.6659999999999999E-3</v>
      </c>
    </row>
    <row r="48" spans="13:15">
      <c r="M48">
        <v>47</v>
      </c>
      <c r="N48" s="8">
        <v>1.4619999999999999E-6</v>
      </c>
      <c r="O48" s="8">
        <f t="shared" si="0"/>
        <v>1.462E-3</v>
      </c>
    </row>
    <row r="49" spans="13:15">
      <c r="M49">
        <v>48</v>
      </c>
      <c r="N49" s="8">
        <v>1.285E-6</v>
      </c>
      <c r="O49" s="8">
        <f t="shared" si="0"/>
        <v>1.2849999999999999E-3</v>
      </c>
    </row>
    <row r="50" spans="13:15">
      <c r="M50">
        <v>49</v>
      </c>
      <c r="N50" s="8">
        <v>1.1310000000000001E-6</v>
      </c>
      <c r="O50" s="8">
        <f t="shared" si="0"/>
        <v>1.1310000000000001E-3</v>
      </c>
    </row>
    <row r="51" spans="13:15">
      <c r="M51">
        <v>50</v>
      </c>
      <c r="N51" s="8">
        <v>9.9679999999999993E-7</v>
      </c>
      <c r="O51" s="8">
        <f t="shared" si="0"/>
        <v>9.9679999999999994E-4</v>
      </c>
    </row>
    <row r="52" spans="13:15">
      <c r="M52">
        <v>51</v>
      </c>
      <c r="N52" s="8">
        <v>8.7909999999999998E-7</v>
      </c>
      <c r="O52" s="8">
        <f t="shared" si="0"/>
        <v>8.7909999999999996E-4</v>
      </c>
    </row>
    <row r="53" spans="13:15">
      <c r="M53">
        <v>52</v>
      </c>
      <c r="N53" s="8">
        <v>7.7550000000000003E-7</v>
      </c>
      <c r="O53" s="8">
        <f t="shared" si="0"/>
        <v>7.7550000000000004E-4</v>
      </c>
    </row>
    <row r="54" spans="13:15">
      <c r="M54">
        <v>53</v>
      </c>
      <c r="N54" s="8">
        <v>6.8420000000000005E-7</v>
      </c>
      <c r="O54" s="8">
        <f t="shared" si="0"/>
        <v>6.8420000000000004E-4</v>
      </c>
    </row>
    <row r="55" spans="13:15">
      <c r="M55">
        <v>54</v>
      </c>
      <c r="N55" s="8">
        <v>6.0330000000000001E-7</v>
      </c>
      <c r="O55" s="8">
        <f t="shared" si="0"/>
        <v>6.0329999999999997E-4</v>
      </c>
    </row>
    <row r="56" spans="13:15">
      <c r="M56">
        <v>55</v>
      </c>
      <c r="N56" s="8">
        <v>5.3170000000000003E-7</v>
      </c>
      <c r="O56" s="8">
        <f t="shared" si="0"/>
        <v>5.3170000000000008E-4</v>
      </c>
    </row>
    <row r="57" spans="13:15">
      <c r="M57">
        <v>56</v>
      </c>
      <c r="N57" s="8">
        <v>4.6810000000000002E-7</v>
      </c>
      <c r="O57" s="8">
        <f t="shared" si="0"/>
        <v>4.6809999999999999E-4</v>
      </c>
    </row>
    <row r="58" spans="13:15">
      <c r="M58">
        <v>57</v>
      </c>
      <c r="N58" s="8">
        <v>4.1180000000000002E-7</v>
      </c>
      <c r="O58" s="8">
        <f t="shared" si="0"/>
        <v>4.1180000000000003E-4</v>
      </c>
    </row>
    <row r="59" spans="13:15">
      <c r="M59">
        <v>58</v>
      </c>
      <c r="N59" s="8">
        <v>3.6189999999999998E-7</v>
      </c>
      <c r="O59" s="8">
        <f t="shared" si="0"/>
        <v>3.6189999999999996E-4</v>
      </c>
    </row>
    <row r="60" spans="13:15">
      <c r="M60">
        <v>59</v>
      </c>
      <c r="N60" s="8">
        <v>3.178E-7</v>
      </c>
      <c r="O60" s="8">
        <f t="shared" si="0"/>
        <v>3.1780000000000003E-4</v>
      </c>
    </row>
    <row r="61" spans="13:15">
      <c r="M61">
        <v>60</v>
      </c>
      <c r="N61" s="8">
        <v>2.7869999999999997E-7</v>
      </c>
      <c r="O61" s="8">
        <f t="shared" si="0"/>
        <v>2.787E-4</v>
      </c>
    </row>
    <row r="62" spans="13:15">
      <c r="M62">
        <v>61</v>
      </c>
      <c r="N62" s="8">
        <v>2.4419999999999998E-7</v>
      </c>
      <c r="O62" s="8">
        <f t="shared" si="0"/>
        <v>2.4419999999999997E-4</v>
      </c>
    </row>
    <row r="63" spans="13:15">
      <c r="M63">
        <v>62</v>
      </c>
      <c r="N63" s="8">
        <v>2.138E-7</v>
      </c>
      <c r="O63" s="8">
        <f t="shared" si="0"/>
        <v>2.1379999999999999E-4</v>
      </c>
    </row>
    <row r="64" spans="13:15">
      <c r="M64">
        <v>63</v>
      </c>
      <c r="N64" s="8">
        <v>1.8690000000000001E-7</v>
      </c>
      <c r="O64" s="8">
        <f t="shared" si="0"/>
        <v>1.8690000000000002E-4</v>
      </c>
    </row>
    <row r="65" spans="13:15">
      <c r="M65">
        <v>64</v>
      </c>
      <c r="N65" s="8">
        <v>1.6320000000000001E-7</v>
      </c>
      <c r="O65" s="8">
        <f t="shared" si="0"/>
        <v>1.6320000000000001E-4</v>
      </c>
    </row>
    <row r="66" spans="13:15">
      <c r="M66">
        <v>65</v>
      </c>
      <c r="N66" s="8">
        <v>1.424E-7</v>
      </c>
      <c r="O66" s="8">
        <f t="shared" ref="O66:O101" si="1">N66*1000</f>
        <v>1.4239999999999999E-4</v>
      </c>
    </row>
    <row r="67" spans="13:15">
      <c r="M67">
        <v>66</v>
      </c>
      <c r="N67" s="8">
        <v>1.2410000000000001E-7</v>
      </c>
      <c r="O67" s="8">
        <f t="shared" si="1"/>
        <v>1.2410000000000001E-4</v>
      </c>
    </row>
    <row r="68" spans="13:15">
      <c r="M68">
        <v>67</v>
      </c>
      <c r="N68" s="8">
        <v>1.08E-7</v>
      </c>
      <c r="O68" s="8">
        <f t="shared" si="1"/>
        <v>1.08E-4</v>
      </c>
    </row>
    <row r="69" spans="13:15">
      <c r="M69">
        <v>68</v>
      </c>
      <c r="N69" s="8">
        <v>9.3929999999999995E-8</v>
      </c>
      <c r="O69" s="8">
        <f t="shared" si="1"/>
        <v>9.392999999999999E-5</v>
      </c>
    </row>
    <row r="70" spans="13:15">
      <c r="M70">
        <v>69</v>
      </c>
      <c r="N70" s="8">
        <v>8.1569999999999995E-8</v>
      </c>
      <c r="O70" s="8">
        <f t="shared" si="1"/>
        <v>8.1569999999999993E-5</v>
      </c>
    </row>
    <row r="71" spans="13:15">
      <c r="M71">
        <v>70</v>
      </c>
      <c r="N71" s="8">
        <v>7.0749999999999995E-8</v>
      </c>
      <c r="O71" s="8">
        <f t="shared" si="1"/>
        <v>7.0749999999999999E-5</v>
      </c>
    </row>
    <row r="72" spans="13:15">
      <c r="M72">
        <v>71</v>
      </c>
      <c r="N72" s="8">
        <v>6.1290000000000002E-8</v>
      </c>
      <c r="O72" s="8">
        <f t="shared" si="1"/>
        <v>6.1290000000000004E-5</v>
      </c>
    </row>
    <row r="73" spans="13:15">
      <c r="M73">
        <v>72</v>
      </c>
      <c r="N73" s="8">
        <v>5.3029999999999999E-8</v>
      </c>
      <c r="O73" s="8">
        <f t="shared" si="1"/>
        <v>5.3029999999999999E-5</v>
      </c>
    </row>
    <row r="74" spans="13:15">
      <c r="M74">
        <v>73</v>
      </c>
      <c r="N74" s="8">
        <v>4.5949999999999998E-8</v>
      </c>
      <c r="O74" s="8">
        <f t="shared" si="1"/>
        <v>4.5949999999999999E-5</v>
      </c>
    </row>
    <row r="75" spans="13:15">
      <c r="M75">
        <v>74</v>
      </c>
      <c r="N75" s="8">
        <v>3.9640000000000003E-8</v>
      </c>
      <c r="O75" s="8">
        <f t="shared" si="1"/>
        <v>3.964E-5</v>
      </c>
    </row>
    <row r="76" spans="13:15">
      <c r="M76">
        <v>75</v>
      </c>
      <c r="N76" s="8">
        <v>3.4149999999999998E-8</v>
      </c>
      <c r="O76" s="8">
        <f t="shared" si="1"/>
        <v>3.4149999999999997E-5</v>
      </c>
    </row>
    <row r="77" spans="13:15">
      <c r="M77">
        <v>76</v>
      </c>
      <c r="N77" s="8">
        <v>2.9370000000000001E-8</v>
      </c>
      <c r="O77" s="8">
        <f t="shared" si="1"/>
        <v>2.9370000000000002E-5</v>
      </c>
    </row>
    <row r="78" spans="13:15">
      <c r="M78">
        <v>77</v>
      </c>
      <c r="N78" s="8">
        <v>2.5230000000000002E-8</v>
      </c>
      <c r="O78" s="8">
        <f t="shared" si="1"/>
        <v>2.5230000000000001E-5</v>
      </c>
    </row>
    <row r="79" spans="13:15">
      <c r="M79">
        <v>78</v>
      </c>
      <c r="N79" s="8">
        <v>2.1649999999999999E-8</v>
      </c>
      <c r="O79" s="8">
        <f t="shared" si="1"/>
        <v>2.1649999999999998E-5</v>
      </c>
    </row>
    <row r="80" spans="13:15">
      <c r="M80">
        <v>79</v>
      </c>
      <c r="N80" s="8">
        <v>1.8550000000000001E-8</v>
      </c>
      <c r="O80" s="8">
        <f t="shared" si="1"/>
        <v>1.855E-5</v>
      </c>
    </row>
    <row r="81" spans="13:15">
      <c r="M81">
        <v>80</v>
      </c>
      <c r="N81" s="8">
        <v>1.5869999999999999E-8</v>
      </c>
      <c r="O81" s="8">
        <f t="shared" si="1"/>
        <v>1.5869999999999999E-5</v>
      </c>
    </row>
    <row r="82" spans="13:15">
      <c r="M82">
        <v>81</v>
      </c>
      <c r="N82" s="8">
        <v>1.357E-8</v>
      </c>
      <c r="O82" s="8">
        <f t="shared" si="1"/>
        <v>1.3570000000000001E-5</v>
      </c>
    </row>
    <row r="83" spans="13:15">
      <c r="M83">
        <v>82</v>
      </c>
      <c r="N83" s="8">
        <v>1.159E-8</v>
      </c>
      <c r="O83" s="8">
        <f t="shared" si="1"/>
        <v>1.1589999999999999E-5</v>
      </c>
    </row>
    <row r="84" spans="13:15">
      <c r="M84">
        <v>83</v>
      </c>
      <c r="N84" s="8">
        <v>9.8839999999999994E-9</v>
      </c>
      <c r="O84" s="8">
        <f t="shared" si="1"/>
        <v>9.8839999999999989E-6</v>
      </c>
    </row>
    <row r="85" spans="13:15">
      <c r="M85">
        <v>84</v>
      </c>
      <c r="N85" s="8">
        <v>8.4209999999999998E-9</v>
      </c>
      <c r="O85" s="8">
        <f t="shared" si="1"/>
        <v>8.4209999999999995E-6</v>
      </c>
    </row>
    <row r="86" spans="13:15">
      <c r="M86">
        <v>85</v>
      </c>
      <c r="N86" s="8">
        <v>7.1660000000000003E-9</v>
      </c>
      <c r="O86" s="8">
        <f t="shared" si="1"/>
        <v>7.1660000000000005E-6</v>
      </c>
    </row>
    <row r="87" spans="13:15">
      <c r="M87">
        <v>86</v>
      </c>
      <c r="N87" s="8">
        <v>6.0920000000000001E-9</v>
      </c>
      <c r="O87" s="8">
        <f t="shared" si="1"/>
        <v>6.0920000000000003E-6</v>
      </c>
    </row>
    <row r="88" spans="13:15">
      <c r="M88">
        <v>87</v>
      </c>
      <c r="N88" s="8">
        <v>5.1719999999999999E-9</v>
      </c>
      <c r="O88" s="8">
        <f t="shared" si="1"/>
        <v>5.1719999999999998E-6</v>
      </c>
    </row>
    <row r="89" spans="13:15">
      <c r="M89">
        <v>88</v>
      </c>
      <c r="N89" s="8">
        <v>4.3860000000000004E-9</v>
      </c>
      <c r="O89" s="8">
        <f t="shared" si="1"/>
        <v>4.386E-6</v>
      </c>
    </row>
    <row r="90" spans="13:15">
      <c r="M90">
        <v>89</v>
      </c>
      <c r="N90" s="8">
        <v>3.7140000000000002E-9</v>
      </c>
      <c r="O90" s="8">
        <f t="shared" si="1"/>
        <v>3.7140000000000004E-6</v>
      </c>
    </row>
    <row r="91" spans="13:15">
      <c r="M91">
        <v>90</v>
      </c>
      <c r="N91" s="8">
        <v>3.1409999999999998E-9</v>
      </c>
      <c r="O91" s="8">
        <f t="shared" si="1"/>
        <v>3.1409999999999997E-6</v>
      </c>
    </row>
    <row r="92" spans="13:15">
      <c r="M92">
        <v>91</v>
      </c>
      <c r="N92" s="8">
        <v>2.6529999999999998E-9</v>
      </c>
      <c r="O92" s="8">
        <f t="shared" si="1"/>
        <v>2.6529999999999998E-6</v>
      </c>
    </row>
    <row r="93" spans="13:15">
      <c r="M93">
        <v>92</v>
      </c>
      <c r="N93" s="8">
        <v>2.2349999999999998E-9</v>
      </c>
      <c r="O93" s="8">
        <f t="shared" si="1"/>
        <v>2.2349999999999998E-6</v>
      </c>
    </row>
    <row r="94" spans="13:15">
      <c r="M94">
        <v>93</v>
      </c>
      <c r="N94" s="8">
        <v>1.877E-9</v>
      </c>
      <c r="O94" s="8">
        <f t="shared" si="1"/>
        <v>1.877E-6</v>
      </c>
    </row>
    <row r="95" spans="13:15">
      <c r="M95">
        <v>94</v>
      </c>
      <c r="N95" s="8">
        <v>1.5719999999999999E-9</v>
      </c>
      <c r="O95" s="8">
        <f t="shared" si="1"/>
        <v>1.5719999999999999E-6</v>
      </c>
    </row>
    <row r="96" spans="13:15">
      <c r="M96">
        <v>95</v>
      </c>
      <c r="N96" s="8">
        <v>1.3109999999999999E-9</v>
      </c>
      <c r="O96" s="8">
        <f t="shared" si="1"/>
        <v>1.3109999999999998E-6</v>
      </c>
    </row>
    <row r="97" spans="13:15">
      <c r="M97">
        <v>96</v>
      </c>
      <c r="N97" s="8">
        <v>1.09E-9</v>
      </c>
      <c r="O97" s="8">
        <f t="shared" si="1"/>
        <v>1.0899999999999999E-6</v>
      </c>
    </row>
    <row r="98" spans="13:15">
      <c r="M98">
        <v>97</v>
      </c>
      <c r="N98" s="8">
        <v>9.0189999999999996E-10</v>
      </c>
      <c r="O98" s="8">
        <f t="shared" si="1"/>
        <v>9.019E-7</v>
      </c>
    </row>
    <row r="99" spans="13:15">
      <c r="M99">
        <v>98</v>
      </c>
      <c r="N99" s="8">
        <v>7.436E-10</v>
      </c>
      <c r="O99" s="8">
        <f t="shared" si="1"/>
        <v>7.4359999999999996E-7</v>
      </c>
    </row>
    <row r="100" spans="13:15">
      <c r="M100">
        <v>99</v>
      </c>
      <c r="N100" s="8">
        <v>6.108E-10</v>
      </c>
      <c r="O100" s="8">
        <f t="shared" si="1"/>
        <v>6.1080000000000004E-7</v>
      </c>
    </row>
    <row r="101" spans="13:15">
      <c r="M101">
        <v>100</v>
      </c>
      <c r="N101" s="8">
        <v>5.0000000000000003E-10</v>
      </c>
      <c r="O101" s="8">
        <f t="shared" si="1"/>
        <v>5.0000000000000008E-7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G85"/>
  <sheetViews>
    <sheetView topLeftCell="B34" workbookViewId="0">
      <selection activeCell="E53" sqref="E53"/>
    </sheetView>
  </sheetViews>
  <sheetFormatPr defaultRowHeight="15"/>
  <sheetData>
    <row r="1" spans="3:4">
      <c r="C1" s="15" t="s">
        <v>161</v>
      </c>
      <c r="D1" s="16" t="s">
        <v>162</v>
      </c>
    </row>
    <row r="2" spans="3:4">
      <c r="C2" t="s">
        <v>165</v>
      </c>
      <c r="D2" s="16" t="s">
        <v>163</v>
      </c>
    </row>
    <row r="3" spans="3:4">
      <c r="C3" t="s">
        <v>166</v>
      </c>
      <c r="D3" s="16" t="s">
        <v>164</v>
      </c>
    </row>
    <row r="4" spans="3:4">
      <c r="C4" t="s">
        <v>294</v>
      </c>
      <c r="D4" s="34" t="s">
        <v>295</v>
      </c>
    </row>
    <row r="5" spans="3:4">
      <c r="C5" t="s">
        <v>167</v>
      </c>
      <c r="D5" s="16" t="s">
        <v>168</v>
      </c>
    </row>
    <row r="6" spans="3:4">
      <c r="C6" t="s">
        <v>169</v>
      </c>
      <c r="D6" s="16" t="s">
        <v>170</v>
      </c>
    </row>
    <row r="7" spans="3:4">
      <c r="C7" t="s">
        <v>171</v>
      </c>
      <c r="D7" s="16" t="s">
        <v>172</v>
      </c>
    </row>
    <row r="8" spans="3:4">
      <c r="C8" t="s">
        <v>174</v>
      </c>
      <c r="D8" s="16" t="s">
        <v>173</v>
      </c>
    </row>
    <row r="9" spans="3:4">
      <c r="C9" t="s">
        <v>175</v>
      </c>
      <c r="D9" s="16" t="s">
        <v>176</v>
      </c>
    </row>
    <row r="10" spans="3:4">
      <c r="C10" t="s">
        <v>177</v>
      </c>
      <c r="D10" s="16" t="s">
        <v>178</v>
      </c>
    </row>
    <row r="11" spans="3:4">
      <c r="C11" t="s">
        <v>179</v>
      </c>
      <c r="D11" s="16" t="s">
        <v>180</v>
      </c>
    </row>
    <row r="12" spans="3:4">
      <c r="C12" t="s">
        <v>182</v>
      </c>
      <c r="D12" s="16" t="s">
        <v>181</v>
      </c>
    </row>
    <row r="13" spans="3:4">
      <c r="C13" t="s">
        <v>183</v>
      </c>
      <c r="D13" s="16" t="s">
        <v>184</v>
      </c>
    </row>
    <row r="14" spans="3:4">
      <c r="C14" t="s">
        <v>185</v>
      </c>
      <c r="D14" s="16" t="s">
        <v>186</v>
      </c>
    </row>
    <row r="15" spans="3:4">
      <c r="C15" t="s">
        <v>187</v>
      </c>
      <c r="D15" s="16" t="s">
        <v>188</v>
      </c>
    </row>
    <row r="16" spans="3:4">
      <c r="C16" t="s">
        <v>190</v>
      </c>
      <c r="D16" s="16" t="s">
        <v>191</v>
      </c>
    </row>
    <row r="17" spans="3:4">
      <c r="C17" t="s">
        <v>288</v>
      </c>
      <c r="D17" s="16" t="s">
        <v>289</v>
      </c>
    </row>
    <row r="18" spans="3:4">
      <c r="C18" t="s">
        <v>192</v>
      </c>
      <c r="D18" s="16" t="s">
        <v>193</v>
      </c>
    </row>
    <row r="19" spans="3:4">
      <c r="C19" t="s">
        <v>195</v>
      </c>
      <c r="D19" s="16" t="s">
        <v>197</v>
      </c>
    </row>
    <row r="20" spans="3:4">
      <c r="C20" t="s">
        <v>196</v>
      </c>
      <c r="D20" s="16" t="s">
        <v>194</v>
      </c>
    </row>
    <row r="21" spans="3:4">
      <c r="C21" t="s">
        <v>199</v>
      </c>
      <c r="D21" s="16" t="s">
        <v>198</v>
      </c>
    </row>
    <row r="22" spans="3:4">
      <c r="C22" t="s">
        <v>200</v>
      </c>
      <c r="D22" s="16" t="s">
        <v>201</v>
      </c>
    </row>
    <row r="23" spans="3:4">
      <c r="C23" t="s">
        <v>202</v>
      </c>
      <c r="D23" s="16" t="s">
        <v>203</v>
      </c>
    </row>
    <row r="24" spans="3:4">
      <c r="C24" t="s">
        <v>204</v>
      </c>
      <c r="D24" s="16" t="s">
        <v>230</v>
      </c>
    </row>
    <row r="25" spans="3:4">
      <c r="C25" t="s">
        <v>205</v>
      </c>
      <c r="D25" s="16" t="s">
        <v>206</v>
      </c>
    </row>
    <row r="26" spans="3:4">
      <c r="C26" t="s">
        <v>207</v>
      </c>
      <c r="D26" s="16" t="s">
        <v>208</v>
      </c>
    </row>
    <row r="27" spans="3:4">
      <c r="C27" t="s">
        <v>209</v>
      </c>
      <c r="D27" s="16" t="s">
        <v>210</v>
      </c>
    </row>
    <row r="28" spans="3:4">
      <c r="C28" t="s">
        <v>211</v>
      </c>
      <c r="D28" s="16" t="s">
        <v>212</v>
      </c>
    </row>
    <row r="29" spans="3:4">
      <c r="C29" t="s">
        <v>213</v>
      </c>
      <c r="D29" s="16" t="s">
        <v>214</v>
      </c>
    </row>
    <row r="30" spans="3:4">
      <c r="C30" t="s">
        <v>215</v>
      </c>
      <c r="D30" s="16" t="s">
        <v>217</v>
      </c>
    </row>
    <row r="31" spans="3:4">
      <c r="C31" t="s">
        <v>218</v>
      </c>
      <c r="D31" s="16" t="s">
        <v>219</v>
      </c>
    </row>
    <row r="32" spans="3:4">
      <c r="C32" t="s">
        <v>245</v>
      </c>
      <c r="D32" s="16" t="s">
        <v>246</v>
      </c>
    </row>
    <row r="33" spans="3:4">
      <c r="C33" t="s">
        <v>284</v>
      </c>
      <c r="D33" s="16" t="s">
        <v>285</v>
      </c>
    </row>
    <row r="34" spans="3:4">
      <c r="C34" t="s">
        <v>221</v>
      </c>
      <c r="D34" s="16" t="s">
        <v>220</v>
      </c>
    </row>
    <row r="35" spans="3:4">
      <c r="C35" t="s">
        <v>222</v>
      </c>
      <c r="D35" s="16" t="s">
        <v>224</v>
      </c>
    </row>
    <row r="36" spans="3:4">
      <c r="C36" t="s">
        <v>223</v>
      </c>
      <c r="D36" s="16" t="s">
        <v>225</v>
      </c>
    </row>
    <row r="37" spans="3:4">
      <c r="C37" t="s">
        <v>226</v>
      </c>
      <c r="D37" s="16" t="s">
        <v>262</v>
      </c>
    </row>
    <row r="38" spans="3:4">
      <c r="C38" t="s">
        <v>227</v>
      </c>
      <c r="D38" s="16" t="s">
        <v>228</v>
      </c>
    </row>
    <row r="39" spans="3:4">
      <c r="C39" t="s">
        <v>229</v>
      </c>
      <c r="D39" s="34" t="s">
        <v>342</v>
      </c>
    </row>
    <row r="40" spans="3:4">
      <c r="C40" t="s">
        <v>350</v>
      </c>
      <c r="D40" s="16" t="s">
        <v>239</v>
      </c>
    </row>
    <row r="41" spans="3:4">
      <c r="C41" t="s">
        <v>364</v>
      </c>
      <c r="D41" s="16" t="s">
        <v>286</v>
      </c>
    </row>
    <row r="42" spans="3:4">
      <c r="C42" t="s">
        <v>365</v>
      </c>
      <c r="D42" s="34" t="s">
        <v>351</v>
      </c>
    </row>
    <row r="43" spans="3:4">
      <c r="C43" t="s">
        <v>366</v>
      </c>
      <c r="D43" s="16" t="s">
        <v>260</v>
      </c>
    </row>
    <row r="44" spans="3:4">
      <c r="C44" t="s">
        <v>367</v>
      </c>
      <c r="D44" s="16" t="s">
        <v>261</v>
      </c>
    </row>
    <row r="45" spans="3:4">
      <c r="C45" t="s">
        <v>341</v>
      </c>
      <c r="D45" s="34" t="s">
        <v>337</v>
      </c>
    </row>
    <row r="46" spans="3:4">
      <c r="C46" t="s">
        <v>371</v>
      </c>
      <c r="D46" s="34" t="s">
        <v>606</v>
      </c>
    </row>
    <row r="47" spans="3:4">
      <c r="C47" t="s">
        <v>354</v>
      </c>
      <c r="D47" s="34" t="s">
        <v>455</v>
      </c>
    </row>
    <row r="48" spans="3:4">
      <c r="C48" t="s">
        <v>358</v>
      </c>
      <c r="D48" s="34" t="s">
        <v>442</v>
      </c>
    </row>
    <row r="49" spans="3:7">
      <c r="C49" t="s">
        <v>374</v>
      </c>
      <c r="D49" s="34" t="s">
        <v>375</v>
      </c>
    </row>
    <row r="50" spans="3:7">
      <c r="C50" t="s">
        <v>362</v>
      </c>
      <c r="D50" s="34" t="s">
        <v>380</v>
      </c>
    </row>
    <row r="51" spans="3:7">
      <c r="C51" t="s">
        <v>379</v>
      </c>
      <c r="D51" s="34" t="s">
        <v>363</v>
      </c>
    </row>
    <row r="52" spans="3:7">
      <c r="C52" t="s">
        <v>457</v>
      </c>
      <c r="D52" s="34" t="s">
        <v>458</v>
      </c>
    </row>
    <row r="53" spans="3:7">
      <c r="C53" t="s">
        <v>399</v>
      </c>
      <c r="D53" s="34" t="s">
        <v>468</v>
      </c>
    </row>
    <row r="54" spans="3:7">
      <c r="C54" t="s">
        <v>408</v>
      </c>
      <c r="D54" s="34" t="s">
        <v>409</v>
      </c>
    </row>
    <row r="55" spans="3:7">
      <c r="C55" t="s">
        <v>410</v>
      </c>
      <c r="D55" s="34" t="s">
        <v>411</v>
      </c>
    </row>
    <row r="56" spans="3:7">
      <c r="C56" t="s">
        <v>422</v>
      </c>
      <c r="D56" s="34" t="s">
        <v>423</v>
      </c>
      <c r="E56" s="16"/>
      <c r="F56" s="16"/>
      <c r="G56" s="16"/>
    </row>
    <row r="57" spans="3:7">
      <c r="C57" t="s">
        <v>431</v>
      </c>
      <c r="D57" s="34" t="s">
        <v>432</v>
      </c>
      <c r="E57" s="16"/>
      <c r="F57" s="16"/>
      <c r="G57" s="16"/>
    </row>
    <row r="58" spans="3:7">
      <c r="C58" t="s">
        <v>440</v>
      </c>
      <c r="D58" s="34" t="s">
        <v>441</v>
      </c>
      <c r="E58" s="16"/>
      <c r="F58" s="16"/>
      <c r="G58" s="16"/>
    </row>
    <row r="59" spans="3:7">
      <c r="C59" t="s">
        <v>536</v>
      </c>
      <c r="D59" s="34" t="s">
        <v>537</v>
      </c>
      <c r="E59" s="16"/>
      <c r="F59" s="16"/>
      <c r="G59" s="16"/>
    </row>
    <row r="60" spans="3:7">
      <c r="C60" t="s">
        <v>541</v>
      </c>
      <c r="D60" s="34" t="s">
        <v>542</v>
      </c>
      <c r="E60" s="16"/>
      <c r="F60" s="16"/>
      <c r="G60" s="16"/>
    </row>
    <row r="61" spans="3:7">
      <c r="C61" t="s">
        <v>553</v>
      </c>
      <c r="D61" s="34" t="s">
        <v>554</v>
      </c>
      <c r="E61" s="16"/>
      <c r="F61" s="16"/>
      <c r="G61" s="16"/>
    </row>
    <row r="62" spans="3:7">
      <c r="C62" t="s">
        <v>556</v>
      </c>
      <c r="D62" s="34" t="s">
        <v>557</v>
      </c>
      <c r="E62" s="16"/>
      <c r="F62" s="16"/>
      <c r="G62" s="16"/>
    </row>
    <row r="63" spans="3:7">
      <c r="C63" t="s">
        <v>558</v>
      </c>
      <c r="D63" s="34" t="s">
        <v>559</v>
      </c>
    </row>
    <row r="64" spans="3:7" ht="105">
      <c r="C64" t="s">
        <v>567</v>
      </c>
      <c r="D64" s="181" t="s">
        <v>568</v>
      </c>
    </row>
    <row r="65" spans="3:4">
      <c r="C65" t="s">
        <v>571</v>
      </c>
      <c r="D65" s="34" t="s">
        <v>572</v>
      </c>
    </row>
    <row r="66" spans="3:4">
      <c r="C66" t="s">
        <v>583</v>
      </c>
      <c r="D66" s="34" t="s">
        <v>584</v>
      </c>
    </row>
    <row r="67" spans="3:4">
      <c r="C67" t="s">
        <v>585</v>
      </c>
      <c r="D67" s="34" t="s">
        <v>586</v>
      </c>
    </row>
    <row r="68" spans="3:4">
      <c r="C68" t="s">
        <v>594</v>
      </c>
      <c r="D68" s="34" t="s">
        <v>595</v>
      </c>
    </row>
    <row r="69" spans="3:4">
      <c r="C69" t="s">
        <v>596</v>
      </c>
      <c r="D69" s="34" t="s">
        <v>597</v>
      </c>
    </row>
    <row r="70" spans="3:4">
      <c r="C70" t="s">
        <v>599</v>
      </c>
      <c r="D70" s="34" t="s">
        <v>600</v>
      </c>
    </row>
    <row r="71" spans="3:4">
      <c r="C71" t="s">
        <v>598</v>
      </c>
      <c r="D71" s="34" t="s">
        <v>601</v>
      </c>
    </row>
    <row r="72" spans="3:4">
      <c r="C72" t="s">
        <v>602</v>
      </c>
      <c r="D72" s="34" t="s">
        <v>603</v>
      </c>
    </row>
    <row r="73" spans="3:4">
      <c r="C73" t="s">
        <v>604</v>
      </c>
      <c r="D73" s="34" t="s">
        <v>605</v>
      </c>
    </row>
    <row r="74" spans="3:4">
      <c r="C74" t="s">
        <v>607</v>
      </c>
      <c r="D74" s="34" t="s">
        <v>608</v>
      </c>
    </row>
    <row r="75" spans="3:4">
      <c r="C75" t="s">
        <v>609</v>
      </c>
      <c r="D75" s="34" t="s">
        <v>610</v>
      </c>
    </row>
    <row r="76" spans="3:4">
      <c r="C76" t="s">
        <v>611</v>
      </c>
      <c r="D76" s="34" t="s">
        <v>612</v>
      </c>
    </row>
    <row r="77" spans="3:4">
      <c r="C77" t="s">
        <v>613</v>
      </c>
      <c r="D77" s="34" t="s">
        <v>614</v>
      </c>
    </row>
    <row r="78" spans="3:4">
      <c r="C78" t="s">
        <v>615</v>
      </c>
      <c r="D78" s="34" t="s">
        <v>616</v>
      </c>
    </row>
    <row r="79" spans="3:4">
      <c r="C79" t="s">
        <v>619</v>
      </c>
      <c r="D79" s="34" t="s">
        <v>620</v>
      </c>
    </row>
    <row r="80" spans="3:4">
      <c r="C80" t="s">
        <v>621</v>
      </c>
      <c r="D80" s="34" t="s">
        <v>622</v>
      </c>
    </row>
    <row r="81" spans="3:4">
      <c r="C81" t="s">
        <v>623</v>
      </c>
      <c r="D81" s="34" t="s">
        <v>624</v>
      </c>
    </row>
    <row r="82" spans="3:4">
      <c r="C82" t="s">
        <v>625</v>
      </c>
      <c r="D82" s="34" t="s">
        <v>626</v>
      </c>
    </row>
    <row r="83" spans="3:4">
      <c r="C83" t="s">
        <v>627</v>
      </c>
      <c r="D83" s="34" t="s">
        <v>628</v>
      </c>
    </row>
    <row r="84" spans="3:4">
      <c r="C84" t="s">
        <v>629</v>
      </c>
      <c r="D84" s="34" t="s">
        <v>630</v>
      </c>
    </row>
    <row r="85" spans="3:4">
      <c r="C85" t="s">
        <v>656</v>
      </c>
      <c r="D85" s="34" t="s">
        <v>657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F77F2-499C-4F9E-A797-EC83A340448F}">
  <dimension ref="A1:F4"/>
  <sheetViews>
    <sheetView workbookViewId="0">
      <selection activeCell="E2" sqref="E2"/>
    </sheetView>
  </sheetViews>
  <sheetFormatPr defaultRowHeight="15"/>
  <cols>
    <col min="1" max="1" width="14.85546875" customWidth="1"/>
    <col min="2" max="2" width="16.42578125" customWidth="1"/>
    <col min="3" max="3" width="21.140625" customWidth="1"/>
    <col min="4" max="4" width="64.42578125" customWidth="1"/>
    <col min="5" max="5" width="54.5703125" customWidth="1"/>
    <col min="6" max="6" width="50" customWidth="1"/>
  </cols>
  <sheetData>
    <row r="1" spans="1:6">
      <c r="A1" s="219" t="s">
        <v>2</v>
      </c>
      <c r="B1" s="219" t="s">
        <v>672</v>
      </c>
      <c r="C1" s="219" t="s">
        <v>675</v>
      </c>
      <c r="D1" s="219" t="s">
        <v>673</v>
      </c>
      <c r="E1" s="219" t="s">
        <v>674</v>
      </c>
      <c r="F1" s="219" t="s">
        <v>680</v>
      </c>
    </row>
    <row r="2" spans="1:6">
      <c r="A2" t="s">
        <v>669</v>
      </c>
      <c r="B2">
        <v>37.700000000000003</v>
      </c>
      <c r="C2" t="s">
        <v>676</v>
      </c>
      <c r="D2" t="s">
        <v>677</v>
      </c>
      <c r="E2" t="s">
        <v>684</v>
      </c>
      <c r="F2" t="s">
        <v>681</v>
      </c>
    </row>
    <row r="3" spans="1:6">
      <c r="A3" t="s">
        <v>670</v>
      </c>
      <c r="B3">
        <v>8.5</v>
      </c>
      <c r="C3" t="s">
        <v>676</v>
      </c>
      <c r="D3" t="s">
        <v>678</v>
      </c>
      <c r="E3" t="s">
        <v>683</v>
      </c>
      <c r="F3" t="s">
        <v>682</v>
      </c>
    </row>
    <row r="4" spans="1:6">
      <c r="A4" t="s">
        <v>671</v>
      </c>
      <c r="B4">
        <v>1</v>
      </c>
      <c r="C4" t="s">
        <v>676</v>
      </c>
      <c r="D4" t="s">
        <v>677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2353-C155-45C5-9201-A57CB0243F92}">
  <dimension ref="A1:B3"/>
  <sheetViews>
    <sheetView workbookViewId="0">
      <selection activeCell="B4" sqref="B4"/>
    </sheetView>
  </sheetViews>
  <sheetFormatPr defaultRowHeight="15"/>
  <sheetData>
    <row r="1" spans="1:2">
      <c r="A1" t="s">
        <v>685</v>
      </c>
      <c r="B1">
        <v>33.6</v>
      </c>
    </row>
    <row r="2" spans="1:2">
      <c r="A2" t="s">
        <v>686</v>
      </c>
      <c r="B2">
        <f>10^(3.1236-0.5*LOG10(B3)-0.2*B1)*1000</f>
        <v>0.73115486988659517</v>
      </c>
    </row>
    <row r="3" spans="1:2">
      <c r="A3" t="s">
        <v>687</v>
      </c>
      <c r="B3">
        <v>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Fireball-meteorite-orbits</vt:lpstr>
      <vt:lpstr>LL-orbits</vt:lpstr>
      <vt:lpstr>PE-calc</vt:lpstr>
      <vt:lpstr>References</vt:lpstr>
      <vt:lpstr>Asteroid-family-associations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P.Brown</dc:creator>
  <cp:lastModifiedBy>Peter G. Brown</cp:lastModifiedBy>
  <dcterms:created xsi:type="dcterms:W3CDTF">2012-10-03T13:58:34Z</dcterms:created>
  <dcterms:modified xsi:type="dcterms:W3CDTF">2023-05-02T15:41:50Z</dcterms:modified>
</cp:coreProperties>
</file>